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тарифы горсовет\"/>
    </mc:Choice>
  </mc:AlternateContent>
  <bookViews>
    <workbookView xWindow="90" yWindow="120" windowWidth="6660" windowHeight="5505" firstSheet="1" activeTab="2"/>
  </bookViews>
  <sheets>
    <sheet name="додаток №1.1 (2)" sheetId="14" r:id="rId1"/>
    <sheet name="1 план витрати (3)" sheetId="13" r:id="rId2"/>
    <sheet name="Лист1" sheetId="12" r:id="rId3"/>
    <sheet name="кал стоки нас.бюдж" sheetId="10" r:id="rId4"/>
    <sheet name="калькул вода " sheetId="11" r:id="rId5"/>
    <sheet name="Лист3" sheetId="3" r:id="rId6"/>
  </sheets>
  <definedNames>
    <definedName name="_xlnm.Print_Area" localSheetId="0">'додаток №1.1 (2)'!$A$1:$F$48</definedName>
    <definedName name="_xlnm.Print_Area" localSheetId="3">'кал стоки нас.бюдж'!$A$1:$J$120</definedName>
    <definedName name="_xlnm.Print_Area" localSheetId="4">'калькул вода '!$A$1:$J$120</definedName>
  </definedNames>
  <calcPr calcId="152511"/>
</workbook>
</file>

<file path=xl/calcChain.xml><?xml version="1.0" encoding="utf-8"?>
<calcChain xmlns="http://schemas.openxmlformats.org/spreadsheetml/2006/main">
  <c r="D6" i="14" l="1"/>
  <c r="E6" i="14"/>
  <c r="F6" i="14" s="1"/>
  <c r="D7" i="14"/>
  <c r="E7" i="14" s="1"/>
  <c r="F7" i="14" s="1"/>
  <c r="D8" i="14"/>
  <c r="F8" i="14"/>
  <c r="D9" i="14"/>
  <c r="E9" i="14"/>
  <c r="F9" i="14" s="1"/>
  <c r="D10" i="14"/>
  <c r="E10" i="14" s="1"/>
  <c r="E11" i="14"/>
  <c r="F11" i="14"/>
  <c r="E12" i="14"/>
  <c r="F12" i="14"/>
  <c r="D28" i="14"/>
  <c r="F28" i="14"/>
  <c r="D29" i="14"/>
  <c r="E29" i="14"/>
  <c r="F29" i="14" s="1"/>
  <c r="D30" i="14"/>
  <c r="F30" i="14"/>
  <c r="D31" i="14"/>
  <c r="E31" i="14"/>
  <c r="F31" i="14"/>
  <c r="D32" i="14"/>
  <c r="E32" i="14"/>
  <c r="F32" i="14" s="1"/>
  <c r="E33" i="14"/>
  <c r="F33" i="14" s="1"/>
  <c r="E34" i="14"/>
  <c r="F34" i="14" s="1"/>
  <c r="D35" i="14"/>
  <c r="F10" i="14" l="1"/>
  <c r="E13" i="14"/>
  <c r="F13" i="14" s="1"/>
  <c r="F14" i="14"/>
  <c r="E35" i="14"/>
  <c r="F35" i="14" s="1"/>
  <c r="F36" i="14" s="1"/>
  <c r="D13" i="14"/>
  <c r="F4" i="13"/>
  <c r="F3" i="13" s="1"/>
  <c r="D5" i="13"/>
  <c r="D4" i="13" s="1"/>
  <c r="F5" i="13"/>
  <c r="H6" i="13"/>
  <c r="H7" i="13"/>
  <c r="H5" i="13" s="1"/>
  <c r="H8" i="13"/>
  <c r="D10" i="13"/>
  <c r="F10" i="13"/>
  <c r="H11" i="13"/>
  <c r="H12" i="13"/>
  <c r="H10" i="13" s="1"/>
  <c r="H13" i="13"/>
  <c r="H14" i="13"/>
  <c r="H15" i="13"/>
  <c r="H16" i="13"/>
  <c r="D3" i="13" l="1"/>
  <c r="H4" i="13"/>
  <c r="H3" i="13" s="1"/>
  <c r="F18" i="13"/>
  <c r="E14" i="12"/>
  <c r="G14" i="12"/>
  <c r="G22" i="12" s="1"/>
  <c r="D15" i="12"/>
  <c r="E15" i="12"/>
  <c r="G15" i="12" s="1"/>
  <c r="G23" i="12" s="1"/>
  <c r="D16" i="12"/>
  <c r="E16" i="12" s="1"/>
  <c r="G16" i="12" s="1"/>
  <c r="E18" i="12"/>
  <c r="G18" i="12"/>
  <c r="D19" i="12"/>
  <c r="E19" i="12"/>
  <c r="G19" i="12" s="1"/>
  <c r="D20" i="12"/>
  <c r="E20" i="12" s="1"/>
  <c r="G20" i="12" s="1"/>
  <c r="G14" i="13" l="1"/>
  <c r="G15" i="13"/>
  <c r="G16" i="13"/>
  <c r="I3" i="13"/>
  <c r="H18" i="13"/>
  <c r="G3" i="13"/>
  <c r="D18" i="13"/>
  <c r="G24" i="12"/>
  <c r="E10" i="10"/>
  <c r="H10" i="10" s="1"/>
  <c r="E10" i="11"/>
  <c r="F10" i="11" s="1"/>
  <c r="E53" i="11"/>
  <c r="H53" i="11" s="1"/>
  <c r="I53" i="11" s="1"/>
  <c r="E13" i="11"/>
  <c r="H13" i="11" s="1"/>
  <c r="I13" i="11" s="1"/>
  <c r="E20" i="10"/>
  <c r="E19" i="10"/>
  <c r="H19" i="10" s="1"/>
  <c r="E16" i="10"/>
  <c r="E15" i="10"/>
  <c r="E38" i="10"/>
  <c r="E21" i="10"/>
  <c r="H21" i="10" s="1"/>
  <c r="I21" i="10" s="1"/>
  <c r="E21" i="11"/>
  <c r="E52" i="10"/>
  <c r="H52" i="10" s="1"/>
  <c r="I52" i="10" s="1"/>
  <c r="E13" i="10"/>
  <c r="I101" i="11"/>
  <c r="F101" i="11"/>
  <c r="C101" i="11"/>
  <c r="I100" i="11"/>
  <c r="F100" i="11"/>
  <c r="C100" i="11"/>
  <c r="I99" i="11"/>
  <c r="F99" i="11"/>
  <c r="C99" i="11"/>
  <c r="I98" i="11"/>
  <c r="F98" i="11"/>
  <c r="C98" i="11"/>
  <c r="I97" i="11"/>
  <c r="F97" i="11"/>
  <c r="C97" i="11"/>
  <c r="I96" i="11"/>
  <c r="F96" i="11"/>
  <c r="C96" i="11"/>
  <c r="H95" i="11"/>
  <c r="I95" i="11" s="1"/>
  <c r="E95" i="11"/>
  <c r="F95" i="11" s="1"/>
  <c r="C95" i="11"/>
  <c r="H94" i="11"/>
  <c r="I94" i="11" s="1"/>
  <c r="E94" i="11"/>
  <c r="F94" i="11" s="1"/>
  <c r="C94" i="11"/>
  <c r="I93" i="11"/>
  <c r="F93" i="11"/>
  <c r="C93" i="11"/>
  <c r="I92" i="11"/>
  <c r="F92" i="11"/>
  <c r="C92" i="11"/>
  <c r="I91" i="11"/>
  <c r="F91" i="11"/>
  <c r="C91" i="11"/>
  <c r="I90" i="11"/>
  <c r="F90" i="11"/>
  <c r="C90" i="11"/>
  <c r="I89" i="11"/>
  <c r="F89" i="11"/>
  <c r="C89" i="11"/>
  <c r="I88" i="11"/>
  <c r="F88" i="11"/>
  <c r="C88" i="11"/>
  <c r="I87" i="11"/>
  <c r="F87" i="11"/>
  <c r="C87" i="11"/>
  <c r="I86" i="11"/>
  <c r="F86" i="11"/>
  <c r="C86" i="11"/>
  <c r="I85" i="11"/>
  <c r="F85" i="11"/>
  <c r="C85" i="11"/>
  <c r="I84" i="11"/>
  <c r="F84" i="11"/>
  <c r="C84" i="11"/>
  <c r="F83" i="11"/>
  <c r="E83" i="11"/>
  <c r="H83" i="11" s="1"/>
  <c r="I83" i="11" s="1"/>
  <c r="C83" i="11"/>
  <c r="I82" i="11"/>
  <c r="F82" i="11"/>
  <c r="C82" i="11"/>
  <c r="I81" i="11"/>
  <c r="F81" i="11"/>
  <c r="C81" i="11"/>
  <c r="E80" i="11"/>
  <c r="H80" i="11" s="1"/>
  <c r="I80" i="11" s="1"/>
  <c r="C80" i="11"/>
  <c r="B79" i="11"/>
  <c r="C79" i="11" s="1"/>
  <c r="B78" i="11"/>
  <c r="I77" i="11"/>
  <c r="F77" i="11"/>
  <c r="C77" i="11"/>
  <c r="I76" i="11"/>
  <c r="F76" i="11"/>
  <c r="C76" i="11"/>
  <c r="E75" i="11"/>
  <c r="C75" i="11"/>
  <c r="E74" i="11"/>
  <c r="F74" i="11" s="1"/>
  <c r="C74" i="11"/>
  <c r="E73" i="11"/>
  <c r="H73" i="11" s="1"/>
  <c r="I73" i="11" s="1"/>
  <c r="C73" i="11"/>
  <c r="E72" i="11"/>
  <c r="F72" i="11" s="1"/>
  <c r="C72" i="11"/>
  <c r="H71" i="11"/>
  <c r="I71" i="11" s="1"/>
  <c r="E71" i="11"/>
  <c r="F71" i="11" s="1"/>
  <c r="C71" i="11"/>
  <c r="E70" i="11"/>
  <c r="F70" i="11" s="1"/>
  <c r="C70" i="11"/>
  <c r="E69" i="11"/>
  <c r="H69" i="11" s="1"/>
  <c r="I69" i="11" s="1"/>
  <c r="C69" i="11"/>
  <c r="I68" i="11"/>
  <c r="F68" i="11"/>
  <c r="C68" i="11"/>
  <c r="I67" i="11"/>
  <c r="F67" i="11"/>
  <c r="C67" i="11"/>
  <c r="I66" i="11"/>
  <c r="F66" i="11"/>
  <c r="C66" i="11"/>
  <c r="B65" i="11"/>
  <c r="C65" i="11" s="1"/>
  <c r="E64" i="11"/>
  <c r="H64" i="11" s="1"/>
  <c r="I64" i="11" s="1"/>
  <c r="C64" i="11"/>
  <c r="F63" i="11"/>
  <c r="E63" i="11"/>
  <c r="H63" i="11" s="1"/>
  <c r="I63" i="11" s="1"/>
  <c r="C63" i="11"/>
  <c r="E62" i="11"/>
  <c r="C62" i="11"/>
  <c r="E61" i="11"/>
  <c r="F61" i="11" s="1"/>
  <c r="C61" i="11"/>
  <c r="E60" i="11"/>
  <c r="H60" i="11" s="1"/>
  <c r="I60" i="11" s="1"/>
  <c r="C60" i="11"/>
  <c r="H59" i="11"/>
  <c r="I59" i="11" s="1"/>
  <c r="E59" i="11"/>
  <c r="F59" i="11" s="1"/>
  <c r="C59" i="11"/>
  <c r="I58" i="11"/>
  <c r="F58" i="11"/>
  <c r="C58" i="11"/>
  <c r="I57" i="11"/>
  <c r="F57" i="11"/>
  <c r="C57" i="11"/>
  <c r="F56" i="11"/>
  <c r="E56" i="11"/>
  <c r="H56" i="11" s="1"/>
  <c r="I56" i="11" s="1"/>
  <c r="C56" i="11"/>
  <c r="B55" i="11"/>
  <c r="C55" i="11" s="1"/>
  <c r="C53" i="11"/>
  <c r="I52" i="11"/>
  <c r="F52" i="11"/>
  <c r="C52" i="11"/>
  <c r="I51" i="11"/>
  <c r="F51" i="11"/>
  <c r="C51" i="11"/>
  <c r="E50" i="11"/>
  <c r="C50" i="11"/>
  <c r="H49" i="11"/>
  <c r="I49" i="11" s="1"/>
  <c r="E49" i="11"/>
  <c r="F49" i="11" s="1"/>
  <c r="C49" i="11"/>
  <c r="H48" i="11"/>
  <c r="I48" i="11" s="1"/>
  <c r="E48" i="11"/>
  <c r="F48" i="11" s="1"/>
  <c r="C48" i="11"/>
  <c r="E47" i="11"/>
  <c r="F47" i="11" s="1"/>
  <c r="C47" i="11"/>
  <c r="I46" i="11"/>
  <c r="F46" i="11"/>
  <c r="C46" i="11"/>
  <c r="I45" i="11"/>
  <c r="F45" i="11"/>
  <c r="C45" i="11"/>
  <c r="I44" i="11"/>
  <c r="F44" i="11"/>
  <c r="C44" i="11"/>
  <c r="B43" i="11"/>
  <c r="C43" i="11" s="1"/>
  <c r="I42" i="11"/>
  <c r="F42" i="11"/>
  <c r="C42" i="11"/>
  <c r="H41" i="11"/>
  <c r="I41" i="11" s="1"/>
  <c r="E41" i="11"/>
  <c r="F41" i="11" s="1"/>
  <c r="C41" i="11"/>
  <c r="I40" i="11"/>
  <c r="F40" i="11"/>
  <c r="C40" i="11"/>
  <c r="I39" i="11"/>
  <c r="F39" i="11"/>
  <c r="C39" i="11"/>
  <c r="F38" i="11"/>
  <c r="E38" i="11"/>
  <c r="H38" i="11" s="1"/>
  <c r="I38" i="11" s="1"/>
  <c r="C38" i="11"/>
  <c r="I37" i="11"/>
  <c r="F37" i="11"/>
  <c r="C37" i="11"/>
  <c r="B36" i="11"/>
  <c r="I35" i="11"/>
  <c r="F35" i="11"/>
  <c r="C35" i="11"/>
  <c r="I34" i="11"/>
  <c r="F34" i="11"/>
  <c r="C34" i="11"/>
  <c r="I33" i="11"/>
  <c r="F33" i="11"/>
  <c r="E33" i="11"/>
  <c r="C33" i="11"/>
  <c r="I32" i="11"/>
  <c r="F32" i="11"/>
  <c r="C32" i="11"/>
  <c r="I31" i="11"/>
  <c r="F31" i="11"/>
  <c r="C31" i="11"/>
  <c r="B30" i="11"/>
  <c r="E29" i="11"/>
  <c r="C29" i="11"/>
  <c r="I28" i="11"/>
  <c r="F28" i="11"/>
  <c r="C28" i="11"/>
  <c r="E27" i="11"/>
  <c r="C27" i="11"/>
  <c r="I26" i="11"/>
  <c r="F26" i="11"/>
  <c r="C26" i="11"/>
  <c r="I25" i="11"/>
  <c r="F25" i="11"/>
  <c r="C25" i="11"/>
  <c r="E24" i="11"/>
  <c r="F24" i="11" s="1"/>
  <c r="C24" i="11"/>
  <c r="E23" i="11"/>
  <c r="B23" i="11"/>
  <c r="H21" i="11"/>
  <c r="I21" i="11" s="1"/>
  <c r="F21" i="11"/>
  <c r="C21" i="11"/>
  <c r="E20" i="11"/>
  <c r="F20" i="11" s="1"/>
  <c r="C20" i="11"/>
  <c r="C19" i="11"/>
  <c r="B18" i="11"/>
  <c r="C18" i="11" s="1"/>
  <c r="I17" i="11"/>
  <c r="F17" i="11"/>
  <c r="C17" i="11"/>
  <c r="E16" i="11"/>
  <c r="C16" i="11"/>
  <c r="B15" i="11"/>
  <c r="C14" i="11"/>
  <c r="F13" i="11"/>
  <c r="C13" i="11"/>
  <c r="E12" i="11"/>
  <c r="H12" i="11" s="1"/>
  <c r="I12" i="11" s="1"/>
  <c r="C12" i="11"/>
  <c r="I11" i="11"/>
  <c r="F11" i="11"/>
  <c r="C11" i="11"/>
  <c r="C10" i="11"/>
  <c r="B9" i="11"/>
  <c r="I100" i="10"/>
  <c r="F100" i="10"/>
  <c r="C100" i="10"/>
  <c r="I99" i="10"/>
  <c r="F99" i="10"/>
  <c r="C99" i="10"/>
  <c r="I98" i="10"/>
  <c r="F98" i="10"/>
  <c r="C98" i="10"/>
  <c r="I97" i="10"/>
  <c r="F97" i="10"/>
  <c r="C97" i="10"/>
  <c r="I96" i="10"/>
  <c r="F96" i="10"/>
  <c r="C96" i="10"/>
  <c r="I95" i="10"/>
  <c r="F95" i="10"/>
  <c r="C95" i="10"/>
  <c r="E94" i="10"/>
  <c r="H94" i="10" s="1"/>
  <c r="I94" i="10" s="1"/>
  <c r="C94" i="10"/>
  <c r="F93" i="10"/>
  <c r="E93" i="10"/>
  <c r="H93" i="10" s="1"/>
  <c r="I93" i="10" s="1"/>
  <c r="C93" i="10"/>
  <c r="I92" i="10"/>
  <c r="F92" i="10"/>
  <c r="C92" i="10"/>
  <c r="I91" i="10"/>
  <c r="F91" i="10"/>
  <c r="C91" i="10"/>
  <c r="I90" i="10"/>
  <c r="F90" i="10"/>
  <c r="C90" i="10"/>
  <c r="I89" i="10"/>
  <c r="F89" i="10"/>
  <c r="C89" i="10"/>
  <c r="I88" i="10"/>
  <c r="F88" i="10"/>
  <c r="C88" i="10"/>
  <c r="I87" i="10"/>
  <c r="F87" i="10"/>
  <c r="C87" i="10"/>
  <c r="I86" i="10"/>
  <c r="F86" i="10"/>
  <c r="C86" i="10"/>
  <c r="I85" i="10"/>
  <c r="F85" i="10"/>
  <c r="C85" i="10"/>
  <c r="I84" i="10"/>
  <c r="F84" i="10"/>
  <c r="C84" i="10"/>
  <c r="I83" i="10"/>
  <c r="F83" i="10"/>
  <c r="C83" i="10"/>
  <c r="E82" i="10"/>
  <c r="H82" i="10" s="1"/>
  <c r="I82" i="10" s="1"/>
  <c r="C82" i="10"/>
  <c r="I81" i="10"/>
  <c r="F81" i="10"/>
  <c r="C81" i="10"/>
  <c r="I80" i="10"/>
  <c r="F80" i="10"/>
  <c r="C80" i="10"/>
  <c r="E79" i="10"/>
  <c r="C79" i="10"/>
  <c r="E78" i="10"/>
  <c r="B78" i="10"/>
  <c r="B77" i="10"/>
  <c r="I76" i="10"/>
  <c r="F76" i="10"/>
  <c r="C76" i="10"/>
  <c r="I75" i="10"/>
  <c r="F75" i="10"/>
  <c r="C75" i="10"/>
  <c r="F74" i="10"/>
  <c r="E74" i="10"/>
  <c r="H74" i="10" s="1"/>
  <c r="I74" i="10" s="1"/>
  <c r="C74" i="10"/>
  <c r="E73" i="10"/>
  <c r="C73" i="10"/>
  <c r="E72" i="10"/>
  <c r="H72" i="10" s="1"/>
  <c r="I72" i="10" s="1"/>
  <c r="C72" i="10"/>
  <c r="E71" i="10"/>
  <c r="H71" i="10" s="1"/>
  <c r="I71" i="10" s="1"/>
  <c r="C71" i="10"/>
  <c r="H70" i="10"/>
  <c r="I70" i="10" s="1"/>
  <c r="E70" i="10"/>
  <c r="F70" i="10" s="1"/>
  <c r="C70" i="10"/>
  <c r="H69" i="10"/>
  <c r="I69" i="10" s="1"/>
  <c r="E69" i="10"/>
  <c r="F69" i="10" s="1"/>
  <c r="C69" i="10"/>
  <c r="E68" i="10"/>
  <c r="H68" i="10" s="1"/>
  <c r="I68" i="10" s="1"/>
  <c r="C68" i="10"/>
  <c r="I67" i="10"/>
  <c r="F67" i="10"/>
  <c r="C67" i="10"/>
  <c r="I66" i="10"/>
  <c r="F66" i="10"/>
  <c r="C66" i="10"/>
  <c r="I65" i="10"/>
  <c r="F65" i="10"/>
  <c r="C65" i="10"/>
  <c r="B64" i="10"/>
  <c r="E64" i="10" s="1"/>
  <c r="F64" i="10" s="1"/>
  <c r="E63" i="10"/>
  <c r="H63" i="10" s="1"/>
  <c r="I63" i="10" s="1"/>
  <c r="C63" i="10"/>
  <c r="I62" i="10"/>
  <c r="F62" i="10"/>
  <c r="C62" i="10"/>
  <c r="E61" i="10"/>
  <c r="H61" i="10" s="1"/>
  <c r="I61" i="10" s="1"/>
  <c r="C61" i="10"/>
  <c r="F60" i="10"/>
  <c r="E60" i="10"/>
  <c r="H60" i="10" s="1"/>
  <c r="I60" i="10" s="1"/>
  <c r="C60" i="10"/>
  <c r="F59" i="10"/>
  <c r="E59" i="10"/>
  <c r="H59" i="10" s="1"/>
  <c r="I59" i="10" s="1"/>
  <c r="C59" i="10"/>
  <c r="H58" i="10"/>
  <c r="I58" i="10" s="1"/>
  <c r="E58" i="10"/>
  <c r="F58" i="10" s="1"/>
  <c r="C58" i="10"/>
  <c r="I57" i="10"/>
  <c r="F57" i="10"/>
  <c r="C57" i="10"/>
  <c r="I56" i="10"/>
  <c r="F56" i="10"/>
  <c r="C56" i="10"/>
  <c r="F55" i="10"/>
  <c r="E55" i="10"/>
  <c r="H55" i="10" s="1"/>
  <c r="I55" i="10" s="1"/>
  <c r="C55" i="10"/>
  <c r="B54" i="10"/>
  <c r="C54" i="10" s="1"/>
  <c r="F52" i="10"/>
  <c r="C52" i="10"/>
  <c r="I51" i="10"/>
  <c r="F51" i="10"/>
  <c r="C51" i="10"/>
  <c r="I50" i="10"/>
  <c r="F50" i="10"/>
  <c r="C50" i="10"/>
  <c r="H49" i="10"/>
  <c r="I49" i="10" s="1"/>
  <c r="E49" i="10"/>
  <c r="F49" i="10" s="1"/>
  <c r="C49" i="10"/>
  <c r="E48" i="10"/>
  <c r="C48" i="10"/>
  <c r="E47" i="10"/>
  <c r="H47" i="10" s="1"/>
  <c r="I47" i="10" s="1"/>
  <c r="C47" i="10"/>
  <c r="F46" i="10"/>
  <c r="E46" i="10"/>
  <c r="H46" i="10" s="1"/>
  <c r="I46" i="10" s="1"/>
  <c r="C46" i="10"/>
  <c r="I45" i="10"/>
  <c r="F45" i="10"/>
  <c r="C45" i="10"/>
  <c r="I44" i="10"/>
  <c r="F44" i="10"/>
  <c r="C44" i="10"/>
  <c r="C43" i="10"/>
  <c r="B43" i="10"/>
  <c r="I42" i="10"/>
  <c r="F42" i="10"/>
  <c r="C42" i="10"/>
  <c r="E41" i="10"/>
  <c r="C41" i="10"/>
  <c r="I40" i="10"/>
  <c r="F40" i="10"/>
  <c r="C40" i="10"/>
  <c r="I39" i="10"/>
  <c r="F39" i="10"/>
  <c r="C39" i="10"/>
  <c r="H38" i="10"/>
  <c r="I38" i="10" s="1"/>
  <c r="C38" i="10"/>
  <c r="I37" i="10"/>
  <c r="F37" i="10"/>
  <c r="C37" i="10"/>
  <c r="B36" i="10"/>
  <c r="E36" i="10" s="1"/>
  <c r="H36" i="10" s="1"/>
  <c r="E35" i="10"/>
  <c r="C35" i="10"/>
  <c r="I34" i="10"/>
  <c r="F34" i="10"/>
  <c r="C34" i="10"/>
  <c r="H33" i="10"/>
  <c r="I33" i="10" s="1"/>
  <c r="E33" i="10"/>
  <c r="F33" i="10" s="1"/>
  <c r="C33" i="10"/>
  <c r="I32" i="10"/>
  <c r="F32" i="10"/>
  <c r="C32" i="10"/>
  <c r="I31" i="10"/>
  <c r="F31" i="10"/>
  <c r="C31" i="10"/>
  <c r="B30" i="10"/>
  <c r="E30" i="10" s="1"/>
  <c r="F30" i="10" s="1"/>
  <c r="E29" i="10"/>
  <c r="H29" i="10" s="1"/>
  <c r="I29" i="10" s="1"/>
  <c r="C29" i="10"/>
  <c r="I28" i="10"/>
  <c r="F28" i="10"/>
  <c r="C28" i="10"/>
  <c r="E27" i="10"/>
  <c r="H27" i="10" s="1"/>
  <c r="I27" i="10" s="1"/>
  <c r="C27" i="10"/>
  <c r="I26" i="10"/>
  <c r="F26" i="10"/>
  <c r="C26" i="10"/>
  <c r="I25" i="10"/>
  <c r="F25" i="10"/>
  <c r="C25" i="10"/>
  <c r="H24" i="10"/>
  <c r="I24" i="10" s="1"/>
  <c r="E24" i="10"/>
  <c r="F24" i="10" s="1"/>
  <c r="C24" i="10"/>
  <c r="C23" i="10"/>
  <c r="B23" i="10"/>
  <c r="B22" i="10"/>
  <c r="K22" i="10" s="1"/>
  <c r="C21" i="10"/>
  <c r="H20" i="10"/>
  <c r="I20" i="10" s="1"/>
  <c r="F20" i="10"/>
  <c r="C20" i="10"/>
  <c r="C19" i="10"/>
  <c r="B18" i="10"/>
  <c r="C18" i="10" s="1"/>
  <c r="I17" i="10"/>
  <c r="F17" i="10"/>
  <c r="C17" i="10"/>
  <c r="H16" i="10"/>
  <c r="I16" i="10" s="1"/>
  <c r="F16" i="10"/>
  <c r="C16" i="10"/>
  <c r="B15" i="10"/>
  <c r="C14" i="10"/>
  <c r="F13" i="10"/>
  <c r="H13" i="10"/>
  <c r="I13" i="10" s="1"/>
  <c r="C13" i="10"/>
  <c r="I12" i="10"/>
  <c r="F12" i="10"/>
  <c r="C12" i="10"/>
  <c r="I11" i="10"/>
  <c r="F11" i="10"/>
  <c r="C11" i="10"/>
  <c r="C10" i="10"/>
  <c r="B9" i="10"/>
  <c r="E14" i="13" l="1"/>
  <c r="E15" i="13"/>
  <c r="E16" i="13"/>
  <c r="E3" i="13"/>
  <c r="I16" i="13"/>
  <c r="I15" i="13"/>
  <c r="I14" i="13"/>
  <c r="H41" i="10"/>
  <c r="I41" i="10" s="1"/>
  <c r="F41" i="10"/>
  <c r="F48" i="10"/>
  <c r="H48" i="10"/>
  <c r="I48" i="10" s="1"/>
  <c r="F73" i="10"/>
  <c r="H73" i="10"/>
  <c r="I73" i="10" s="1"/>
  <c r="K77" i="10"/>
  <c r="M10" i="10"/>
  <c r="F78" i="10"/>
  <c r="E77" i="10"/>
  <c r="F77" i="10" s="1"/>
  <c r="F79" i="10"/>
  <c r="H79" i="10"/>
  <c r="I79" i="10" s="1"/>
  <c r="C9" i="11"/>
  <c r="B8" i="11"/>
  <c r="C8" i="11" s="1"/>
  <c r="E15" i="11"/>
  <c r="H15" i="11"/>
  <c r="F16" i="11"/>
  <c r="H16" i="11"/>
  <c r="I16" i="11" s="1"/>
  <c r="F23" i="11"/>
  <c r="F29" i="11"/>
  <c r="H29" i="11"/>
  <c r="I29" i="11" s="1"/>
  <c r="H50" i="11"/>
  <c r="I50" i="11" s="1"/>
  <c r="F50" i="11"/>
  <c r="F62" i="11"/>
  <c r="H62" i="11"/>
  <c r="I62" i="11" s="1"/>
  <c r="C9" i="10"/>
  <c r="B8" i="10"/>
  <c r="E18" i="10"/>
  <c r="F18" i="10" s="1"/>
  <c r="F35" i="10"/>
  <c r="H35" i="10"/>
  <c r="I35" i="10" s="1"/>
  <c r="H78" i="10"/>
  <c r="I78" i="10" s="1"/>
  <c r="C78" i="10"/>
  <c r="H23" i="11"/>
  <c r="C23" i="11"/>
  <c r="H24" i="11"/>
  <c r="I24" i="11" s="1"/>
  <c r="F27" i="11"/>
  <c r="H27" i="11"/>
  <c r="I27" i="11" s="1"/>
  <c r="H30" i="11"/>
  <c r="I30" i="11" s="1"/>
  <c r="E30" i="11"/>
  <c r="F30" i="11" s="1"/>
  <c r="H72" i="11"/>
  <c r="I72" i="11" s="1"/>
  <c r="F75" i="11"/>
  <c r="H75" i="11"/>
  <c r="I75" i="11" s="1"/>
  <c r="E23" i="10"/>
  <c r="E43" i="10"/>
  <c r="F43" i="10" s="1"/>
  <c r="F53" i="11"/>
  <c r="E9" i="10"/>
  <c r="F9" i="10" s="1"/>
  <c r="F10" i="10"/>
  <c r="I23" i="11"/>
  <c r="E9" i="11"/>
  <c r="H10" i="11"/>
  <c r="H20" i="11"/>
  <c r="I20" i="11" s="1"/>
  <c r="B22" i="11"/>
  <c r="C30" i="11"/>
  <c r="E43" i="11"/>
  <c r="F43" i="11" s="1"/>
  <c r="H47" i="11"/>
  <c r="I47" i="11" s="1"/>
  <c r="B54" i="11"/>
  <c r="E55" i="11"/>
  <c r="F55" i="11" s="1"/>
  <c r="H61" i="11"/>
  <c r="I61" i="11" s="1"/>
  <c r="H70" i="11"/>
  <c r="I70" i="11" s="1"/>
  <c r="H74" i="11"/>
  <c r="I74" i="11" s="1"/>
  <c r="E78" i="11"/>
  <c r="F78" i="11" s="1"/>
  <c r="E79" i="11"/>
  <c r="F79" i="11" s="1"/>
  <c r="B102" i="11"/>
  <c r="C102" i="11" s="1"/>
  <c r="C105" i="11" s="1"/>
  <c r="C104" i="11" s="1"/>
  <c r="B7" i="11"/>
  <c r="F12" i="11"/>
  <c r="C15" i="11"/>
  <c r="E36" i="11"/>
  <c r="H36" i="11" s="1"/>
  <c r="F60" i="11"/>
  <c r="F64" i="11"/>
  <c r="F69" i="11"/>
  <c r="F73" i="11"/>
  <c r="C78" i="11"/>
  <c r="H79" i="11"/>
  <c r="I79" i="11" s="1"/>
  <c r="F80" i="11"/>
  <c r="M10" i="11"/>
  <c r="E65" i="11"/>
  <c r="F65" i="11" s="1"/>
  <c r="H77" i="10"/>
  <c r="I77" i="10" s="1"/>
  <c r="I10" i="10"/>
  <c r="H9" i="10"/>
  <c r="H18" i="10"/>
  <c r="I18" i="10" s="1"/>
  <c r="I19" i="10"/>
  <c r="E14" i="10"/>
  <c r="F15" i="10"/>
  <c r="F21" i="10"/>
  <c r="C22" i="10"/>
  <c r="H30" i="10"/>
  <c r="I30" i="10" s="1"/>
  <c r="H64" i="10"/>
  <c r="I64" i="10" s="1"/>
  <c r="F71" i="10"/>
  <c r="C15" i="10"/>
  <c r="F19" i="10"/>
  <c r="F27" i="10"/>
  <c r="F29" i="10"/>
  <c r="C30" i="10"/>
  <c r="F38" i="10"/>
  <c r="F47" i="10"/>
  <c r="B53" i="10"/>
  <c r="E54" i="10"/>
  <c r="F61" i="10"/>
  <c r="F63" i="10"/>
  <c r="C64" i="10"/>
  <c r="F68" i="10"/>
  <c r="F72" i="10"/>
  <c r="C77" i="10"/>
  <c r="F82" i="10"/>
  <c r="F94" i="10"/>
  <c r="H15" i="10"/>
  <c r="E22" i="10" l="1"/>
  <c r="C8" i="10"/>
  <c r="B7" i="10"/>
  <c r="F23" i="10"/>
  <c r="H55" i="11"/>
  <c r="I55" i="11" s="1"/>
  <c r="H43" i="10"/>
  <c r="I43" i="10" s="1"/>
  <c r="H23" i="10"/>
  <c r="I23" i="10" s="1"/>
  <c r="E22" i="11"/>
  <c r="H78" i="11"/>
  <c r="I78" i="11" s="1"/>
  <c r="D19" i="11"/>
  <c r="D98" i="11"/>
  <c r="H43" i="11"/>
  <c r="I43" i="11" s="1"/>
  <c r="C7" i="11"/>
  <c r="M7" i="11"/>
  <c r="K7" i="11"/>
  <c r="E14" i="11"/>
  <c r="F15" i="11"/>
  <c r="D20" i="11"/>
  <c r="E54" i="11"/>
  <c r="F54" i="11" s="1"/>
  <c r="M9" i="11"/>
  <c r="K54" i="11"/>
  <c r="C54" i="11"/>
  <c r="D54" i="11" s="1"/>
  <c r="F22" i="11"/>
  <c r="C22" i="11"/>
  <c r="D22" i="11" s="1"/>
  <c r="H9" i="11"/>
  <c r="I10" i="11"/>
  <c r="D10" i="11"/>
  <c r="D13" i="11"/>
  <c r="D18" i="11"/>
  <c r="D78" i="11"/>
  <c r="D15" i="11"/>
  <c r="H65" i="11"/>
  <c r="I65" i="11" s="1"/>
  <c r="F9" i="11"/>
  <c r="D9" i="11"/>
  <c r="D14" i="11"/>
  <c r="I15" i="10"/>
  <c r="H14" i="10"/>
  <c r="I14" i="10" s="1"/>
  <c r="H22" i="10"/>
  <c r="I22" i="10" s="1"/>
  <c r="F54" i="10"/>
  <c r="E53" i="10"/>
  <c r="H8" i="10"/>
  <c r="I9" i="10"/>
  <c r="M9" i="10"/>
  <c r="K53" i="10"/>
  <c r="C53" i="10"/>
  <c r="F14" i="10"/>
  <c r="E8" i="10"/>
  <c r="B101" i="10"/>
  <c r="C101" i="10" s="1"/>
  <c r="H54" i="10"/>
  <c r="M7" i="10" l="1"/>
  <c r="M8" i="10" s="1"/>
  <c r="C7" i="10"/>
  <c r="F22" i="10"/>
  <c r="L22" i="10"/>
  <c r="M11" i="10"/>
  <c r="F14" i="11"/>
  <c r="E19" i="11"/>
  <c r="I9" i="11"/>
  <c r="H14" i="11"/>
  <c r="I15" i="11"/>
  <c r="D102" i="11"/>
  <c r="H54" i="11"/>
  <c r="I54" i="11" s="1"/>
  <c r="M11" i="11"/>
  <c r="M8" i="11"/>
  <c r="H22" i="11"/>
  <c r="I22" i="11" s="1"/>
  <c r="D97" i="10"/>
  <c r="D20" i="10"/>
  <c r="D19" i="10"/>
  <c r="C104" i="10"/>
  <c r="C103" i="10" s="1"/>
  <c r="D13" i="10"/>
  <c r="D9" i="10"/>
  <c r="D10" i="10"/>
  <c r="D14" i="10"/>
  <c r="D18" i="10"/>
  <c r="D15" i="10"/>
  <c r="D53" i="10"/>
  <c r="D22" i="10"/>
  <c r="F8" i="10"/>
  <c r="E7" i="10"/>
  <c r="F7" i="10" s="1"/>
  <c r="I8" i="10"/>
  <c r="H7" i="10"/>
  <c r="I7" i="10" s="1"/>
  <c r="F53" i="10"/>
  <c r="E101" i="10"/>
  <c r="F101" i="10" s="1"/>
  <c r="H53" i="10"/>
  <c r="I53" i="10" s="1"/>
  <c r="I54" i="10"/>
  <c r="D77" i="10"/>
  <c r="H101" i="10"/>
  <c r="I101" i="10" s="1"/>
  <c r="J22" i="10" s="1"/>
  <c r="F19" i="11" l="1"/>
  <c r="E18" i="11"/>
  <c r="I14" i="11"/>
  <c r="H19" i="11"/>
  <c r="J15" i="10"/>
  <c r="F104" i="10"/>
  <c r="F103" i="10" s="1"/>
  <c r="G18" i="10"/>
  <c r="G13" i="10"/>
  <c r="G20" i="10"/>
  <c r="G9" i="10"/>
  <c r="G77" i="10"/>
  <c r="G97" i="10"/>
  <c r="G10" i="10"/>
  <c r="G22" i="10"/>
  <c r="G19" i="10"/>
  <c r="G15" i="10"/>
  <c r="G53" i="10"/>
  <c r="I104" i="10"/>
  <c r="I103" i="10" s="1"/>
  <c r="J97" i="10"/>
  <c r="J20" i="10"/>
  <c r="J13" i="10"/>
  <c r="J19" i="10"/>
  <c r="J18" i="10"/>
  <c r="J77" i="10"/>
  <c r="J10" i="10"/>
  <c r="J53" i="10"/>
  <c r="G14" i="10"/>
  <c r="J14" i="10"/>
  <c r="J9" i="10"/>
  <c r="D101" i="10"/>
  <c r="H18" i="11" l="1"/>
  <c r="I19" i="11"/>
  <c r="F18" i="11"/>
  <c r="E8" i="11"/>
  <c r="E102" i="11"/>
  <c r="F102" i="11" s="1"/>
  <c r="G101" i="10"/>
  <c r="J101" i="10"/>
  <c r="F8" i="11" l="1"/>
  <c r="E7" i="11"/>
  <c r="F7" i="11" s="1"/>
  <c r="G98" i="11"/>
  <c r="G10" i="11"/>
  <c r="G19" i="11"/>
  <c r="G78" i="11"/>
  <c r="G15" i="11"/>
  <c r="G54" i="11"/>
  <c r="G22" i="11"/>
  <c r="F105" i="11"/>
  <c r="F104" i="11" s="1"/>
  <c r="G20" i="11"/>
  <c r="G13" i="11"/>
  <c r="G14" i="11"/>
  <c r="G9" i="11"/>
  <c r="G18" i="11"/>
  <c r="I18" i="11"/>
  <c r="H8" i="11"/>
  <c r="H102" i="11"/>
  <c r="I102" i="11" s="1"/>
  <c r="J15" i="11" l="1"/>
  <c r="I105" i="11"/>
  <c r="I104" i="11" s="1"/>
  <c r="J98" i="11"/>
  <c r="J78" i="11"/>
  <c r="J10" i="11"/>
  <c r="J54" i="11"/>
  <c r="J22" i="11"/>
  <c r="J13" i="11"/>
  <c r="J20" i="11"/>
  <c r="J19" i="11"/>
  <c r="J9" i="11"/>
  <c r="J14" i="11"/>
  <c r="J18" i="11"/>
  <c r="H7" i="11"/>
  <c r="I7" i="11" s="1"/>
  <c r="I8" i="11"/>
  <c r="G102" i="11"/>
  <c r="J102" i="11" l="1"/>
</calcChain>
</file>

<file path=xl/sharedStrings.xml><?xml version="1.0" encoding="utf-8"?>
<sst xmlns="http://schemas.openxmlformats.org/spreadsheetml/2006/main" count="399" uniqueCount="199">
  <si>
    <t>Статті витрат</t>
  </si>
  <si>
    <t>Плановані витрати</t>
  </si>
  <si>
    <t>на 1 м куб. (грн)</t>
  </si>
  <si>
    <t>1. Прямі матеріальні витрати, всього, у тому числі:</t>
  </si>
  <si>
    <t>витрати, пов’язані з використанням електроенергії для технологічних потреб</t>
  </si>
  <si>
    <t>витрати на придбання води в інших підприємств та/або очищення власних стічних вод іншими підприємствами</t>
  </si>
  <si>
    <t>витрати на придбання реагентів для очищення і знезараження питної води та/або стічних вод</t>
  </si>
  <si>
    <t>2. Прямі витрати на оплату праці, всього, у тому числі:</t>
  </si>
  <si>
    <t>основна заробітна плата виробничого персоналу</t>
  </si>
  <si>
    <t>додаткова заробітна плата виробничого персоналу</t>
  </si>
  <si>
    <t>інші заохочувальні та компенсаційні виплати виробничому персоналу</t>
  </si>
  <si>
    <t>3. Інші прямі витрати, всього, у тому числі:</t>
  </si>
  <si>
    <t>внески на загальнообов’язкове державне соціальне страхування для виробничого персоналу</t>
  </si>
  <si>
    <t>амортизація основних засобів, інших необоротних матеріальних і нематеріальних активів виробничого призначення</t>
  </si>
  <si>
    <t>4. Загальновиробничі витрати, всього, у тому числі:</t>
  </si>
  <si>
    <t>4.1. Витрати, пов’язані з управлінням виробництва, всього, у тому числі:</t>
  </si>
  <si>
    <t>основна заробітна плата</t>
  </si>
  <si>
    <t>додаткова заробітна плата</t>
  </si>
  <si>
    <t>інші заохочувальні та компенсаційні виплати</t>
  </si>
  <si>
    <t>внески на загальнообов’язкове державне соціальне страхування</t>
  </si>
  <si>
    <t>оплата службових відряджень апарату управління цехами, дільницями</t>
  </si>
  <si>
    <t>4.2. Амортизація основних засобів, інших необоротних матеріальних і нематеріальних активів загальновиробничого призначення</t>
  </si>
  <si>
    <t>4.3. Витрати, пов’язані з утриманням основних засобів та інших необоротних активів, всього, у тому числі:</t>
  </si>
  <si>
    <t>експлуатація</t>
  </si>
  <si>
    <t>ремонт</t>
  </si>
  <si>
    <t>страхування</t>
  </si>
  <si>
    <t>операційна оренда</t>
  </si>
  <si>
    <t>4.4. Витрати на удосконалення технології та організації виробництва</t>
  </si>
  <si>
    <t>4.5. Утримання виробничих приміщень, всього, у тому числі:</t>
  </si>
  <si>
    <t>витрати на опалення</t>
  </si>
  <si>
    <t>витрати на освітлення</t>
  </si>
  <si>
    <t>витрати на дезінфекцію</t>
  </si>
  <si>
    <t>витрати на дератизацію</t>
  </si>
  <si>
    <t>витрати на вивезення сміття</t>
  </si>
  <si>
    <t>інші заходи, пов’язані з утриманням виробничих приміщень</t>
  </si>
  <si>
    <t>4.6. Витрати на обслуговування виробничого процесу, всього, у тому числі:</t>
  </si>
  <si>
    <t>оплата праці</t>
  </si>
  <si>
    <t>оплата службових відряджень</t>
  </si>
  <si>
    <t>4.7. Витрати на охорону праці, дотримання техніки безпеки і охорону навколишнього природного середовища</t>
  </si>
  <si>
    <t>4.8. Витрати на пожежну і сторожову охорону об’єктів виробничого та загальновиробничого призначення, утримання санітарних зон</t>
  </si>
  <si>
    <t>4.9. Витрати на оплату послуг спеціалізованих підприємств з проведення планових перевірок стану обладнання, виконання регламентних вимог</t>
  </si>
  <si>
    <t>4.10. Сплата податків та зборів</t>
  </si>
  <si>
    <t>5. Адміністративні витрати, всього, у тому числі:</t>
  </si>
  <si>
    <t>5.1. Витрати, пов’язані з управлінням підприємства, всього, у тому числі:</t>
  </si>
  <si>
    <t>гарантійні та компенсаційні виплати</t>
  </si>
  <si>
    <t>витрати на підготовку та перепідготовку кадрів</t>
  </si>
  <si>
    <t>витрати на використання малоцінних та швидкозношуваних предметів, придбання канцелярських товарів</t>
  </si>
  <si>
    <t>витрати на передплату професійних періодичних видань</t>
  </si>
  <si>
    <t>5.2. Амортизація основних засобів, інших необоротних матеріальних та нематеріальних активів загальногосподарського використання</t>
  </si>
  <si>
    <t>5.3. Витрати на утримання основних засобів, інших необоротних матеріальних і нематеріальних активів загальногосподарського призначення, всього, у тому числі:</t>
  </si>
  <si>
    <t>оренду</t>
  </si>
  <si>
    <t>страхування майна</t>
  </si>
  <si>
    <t>опалення</t>
  </si>
  <si>
    <t>освітлення</t>
  </si>
  <si>
    <t>охорону</t>
  </si>
  <si>
    <t>5.5. Витрати на оплату послуг зв’язку</t>
  </si>
  <si>
    <t>5.6. Витрати на оплату розрахунково-касового обслуговування, послуг банків</t>
  </si>
  <si>
    <t>5.7. Податки, збори (обов’язкові платежі), крім включених до виробничої собівартості</t>
  </si>
  <si>
    <t>5.8. Витрати на розв’язання спорів у судах</t>
  </si>
  <si>
    <t>5.9. Витрати на пально-мастильні матеріали для потреб апарату управління підприємством</t>
  </si>
  <si>
    <t>6. Витрати зі збуту послуг, всього, у тому числі:</t>
  </si>
  <si>
    <t>6.1. Витрати на оплату праці персоналу, пов’язані зі збутом послуг, всього, у тому числі:</t>
  </si>
  <si>
    <t>6.2. Відрахування на загальнообов’язкове державне страхування</t>
  </si>
  <si>
    <t>6.3. Оплата службових відряджень</t>
  </si>
  <si>
    <t>6.4. Витрати на підготовку та перепідготовку персоналу</t>
  </si>
  <si>
    <t>6.5. Амортизація основних засобів, інших необоротних матеріальних та нематеріальних активів, безпосередньо пов’язаних зі збутом послуг</t>
  </si>
  <si>
    <t>6.6. Витрати на утримання основних засобів, інших необоротних матеріальних та нематеріальних активів, безпосередньо пов’язаних зі збутом послуг, всього, у тому числі:</t>
  </si>
  <si>
    <t>оренда</t>
  </si>
  <si>
    <t>охорона</t>
  </si>
  <si>
    <t>6.7. Оплата інформаційних послуг, безпосередньо пов’язаних зі збутом</t>
  </si>
  <si>
    <t>6.8. Витрати на оплату послуг банків та інших установ з приймання і перерахування коштів споживачів</t>
  </si>
  <si>
    <t>6.9. Витрати на канцелярські товари і виготовлення розрахункових документів про оплату послуг</t>
  </si>
  <si>
    <t>6.10. Витрати на періодичну повірку, опломбування, обслуговування та ремонт засобів обліку води, які є власністю ліцензіата</t>
  </si>
  <si>
    <t>7. Інші витрати з операційної діяльності, всього</t>
  </si>
  <si>
    <t>8. Фінансові витрати, всього, у тому числі:</t>
  </si>
  <si>
    <t>витрати на сплату відсотків за користування отриманими кредитами</t>
  </si>
  <si>
    <t>інші витрати</t>
  </si>
  <si>
    <t>9. Всього повна собівартість (рядок 1 + рядок 2 + рядок 3 + рядок 4 + рядок 5 + рядок 6 + рядок 7 + рядок 8)</t>
  </si>
  <si>
    <t>інші прямі витрати (податок на надра, збір за спецводокористування)</t>
  </si>
  <si>
    <t xml:space="preserve">всього (грн) </t>
  </si>
  <si>
    <t>Прямі витрати,в т.ч.</t>
  </si>
  <si>
    <t>Виробнича собівартість</t>
  </si>
  <si>
    <t xml:space="preserve">10.Рентабельність </t>
  </si>
  <si>
    <t xml:space="preserve">Податок на додану вартість </t>
  </si>
  <si>
    <t xml:space="preserve">Тариф </t>
  </si>
  <si>
    <t>Статті витрат зі значенням "0" - відсутні на підприємстві, або є нерозподіленими витратами.</t>
  </si>
  <si>
    <t>Питома вага, %</t>
  </si>
  <si>
    <t xml:space="preserve">інші прямі матеріальні витрати, за винятком вартості зворотних відходів </t>
  </si>
  <si>
    <t>4. Загальновиробничі витрати, всього, у тому числі:535268,19</t>
  </si>
  <si>
    <t>5. Адміністративні витрати, всього, у тому числі:315189,05</t>
  </si>
  <si>
    <t>6. Витрати зі збуту послуг, всього, у тому числі:99915,98</t>
  </si>
  <si>
    <t>4.11. Сплата податків та зборів</t>
  </si>
  <si>
    <t>4,10 Повірка засобів вимірювальної техніки</t>
  </si>
  <si>
    <r>
      <t>Плановий обсяг реалізації, м</t>
    </r>
    <r>
      <rPr>
        <b/>
        <sz val="9"/>
        <rFont val="Arial Cyr"/>
        <charset val="204"/>
      </rPr>
      <t>³</t>
    </r>
  </si>
  <si>
    <t>Плановані витрати                         1 группа -населення</t>
  </si>
  <si>
    <t xml:space="preserve">Плановані витрати                                          2,3група -бюджетни установи ,інші споживачи </t>
  </si>
  <si>
    <t>4.12. Інші загальновиробничі витрати (паливо -мастильні матеріали)</t>
  </si>
  <si>
    <t>4.11. Інші загальновиробничі витрати (паливо-мастильні матеріали)</t>
  </si>
  <si>
    <t>здійснення технологічного контролю за виробничими процесами та якістю(анализ пит.воды)</t>
  </si>
  <si>
    <t>4.9. Витрати на оплату послуг спеціалізованих підприємств з проведення планових перевірок стану обладнання, виконання регламентних вимог(тех.контр)</t>
  </si>
  <si>
    <t>5.4. Оплата професійних послуг (юридичні, аудиторські, оцінка майна)медок.</t>
  </si>
  <si>
    <t>4.8. Витрати на пожежну і сторожову охорону об’єктів виробничого та загальновиробничого призначення, утримання санітарних зон(тех.контроль)</t>
  </si>
  <si>
    <t>5.4. Оплата професійних послуг (юридичні, аудиторські, оцінка майна)медок</t>
  </si>
  <si>
    <t>здійснення технологічного контролю за виробничими процесами та якістю(аналіз сток)</t>
  </si>
  <si>
    <t>4.4. Витрати на удосконалення технології та організації виробництва(тех.контр)</t>
  </si>
  <si>
    <t xml:space="preserve">КАЛЬКУЛЯЦІЯ РОЗРАХУНКУ                                                                                                                                                                                                                                                        економічно обгрунтованих планованих витрат,пов'язаних з централізованим водопостачання по  МКП "Сватівський водоканал"                                                          </t>
  </si>
  <si>
    <t xml:space="preserve">Виконавець :                                    О.В.Скоробогатова                                  </t>
  </si>
  <si>
    <t>КАЛЬКУЛЯЦІЯ РОЗРАХУНКУ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економічно обгрунтованих плановіх витрат,повязаних з централізованим водовідведенням по МКП "Сватівський водоканал"</t>
  </si>
  <si>
    <t xml:space="preserve">Виконавець  :                                О.В.Скоробогатова                                </t>
  </si>
  <si>
    <t xml:space="preserve">директор:                                О.Г.Пугач </t>
  </si>
  <si>
    <t>директор :                             О.Г. Пугач</t>
  </si>
  <si>
    <t>м3</t>
  </si>
  <si>
    <t>інші споживачі</t>
  </si>
  <si>
    <t>бюджетні установи</t>
  </si>
  <si>
    <t>населення</t>
  </si>
  <si>
    <t xml:space="preserve">Водопостачання та водовідведення разом </t>
  </si>
  <si>
    <t>Водовідведення,всього</t>
  </si>
  <si>
    <t>Водопостачання,всього</t>
  </si>
  <si>
    <t>Тариф,з ПДВ</t>
  </si>
  <si>
    <t>Рентабель  ність</t>
  </si>
  <si>
    <t>Рівень витрат грн.1м3</t>
  </si>
  <si>
    <t>Рівень витрат,  грн</t>
  </si>
  <si>
    <t>План на              2016 гг.</t>
  </si>
  <si>
    <t>Ед. изм.</t>
  </si>
  <si>
    <t>Наименование</t>
  </si>
  <si>
    <t>Розрахунок тарифа на послуги водопостачання та водовідведення             на 2016 г.  по МКП "Сватівський водоканал"</t>
  </si>
  <si>
    <t>Додаток №1.1</t>
  </si>
  <si>
    <t>"         "              2016р.</t>
  </si>
  <si>
    <t>________________________О.Г.Пугач</t>
  </si>
  <si>
    <t>______________ Є.В.Рибалко</t>
  </si>
  <si>
    <t xml:space="preserve">Затверджено:                                                                                                        директор МКП "Сватівський  водоканал"                                                                                     </t>
  </si>
  <si>
    <t>Узгоджено:                                                                                    Сватівський міський голова</t>
  </si>
  <si>
    <t xml:space="preserve">Виконавець                                        О.В.Скоробогатова </t>
  </si>
  <si>
    <r>
      <t xml:space="preserve">Відповідно до п. 22 Порядку формування тарифів на послуги централізованого водопостачання та водовідведення, затвердженого постановою Кабінету міністрів України від 01.06.2011 р № 869 загальновиробничі витрати розподіляються між видами діяльності пропорційно прямим витратам.  Таким чином, розмір загальновиробничих витрат складе  </t>
    </r>
    <r>
      <rPr>
        <b/>
        <sz val="11"/>
        <color indexed="8"/>
        <rFont val="Calibri"/>
        <family val="2"/>
        <charset val="204"/>
      </rPr>
      <t>16,9%</t>
    </r>
    <r>
      <rPr>
        <sz val="11"/>
        <color theme="1"/>
        <rFont val="Calibri"/>
        <family val="2"/>
        <charset val="204"/>
        <scheme val="minor"/>
      </rPr>
      <t xml:space="preserve">(1017016,24/4434830,91х100%).  Відповідно до п.23 вказаного вище Порядку  адміністративні витрати розподіляються між видами діяльності пропорційно виробничій собівартості.   Розмір адміністративних витрат складе </t>
    </r>
    <r>
      <rPr>
        <b/>
        <sz val="11"/>
        <color indexed="8"/>
        <rFont val="Calibri"/>
        <family val="2"/>
        <charset val="204"/>
      </rPr>
      <t xml:space="preserve"> 13,24%</t>
    </r>
    <r>
      <rPr>
        <sz val="11"/>
        <color theme="1"/>
        <rFont val="Calibri"/>
        <family val="2"/>
        <charset val="204"/>
        <scheme val="minor"/>
      </rPr>
      <t xml:space="preserve">   Відповідно до п.24 вказаного вище Порядку  витрати на збут послуг з централізованого водопостачання та водовідведення розподіляються між видами діяльності пропорційно виробничій собівартості. Розмір витрат на збут складе  5,89</t>
    </r>
    <r>
      <rPr>
        <b/>
        <sz val="11"/>
        <color indexed="8"/>
        <rFont val="Calibri"/>
        <family val="2"/>
        <charset val="204"/>
      </rPr>
      <t>%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</si>
  <si>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t>грн</t>
  </si>
  <si>
    <t>Собівартість</t>
  </si>
  <si>
    <t>V</t>
  </si>
  <si>
    <t>Інші операційні витрати</t>
  </si>
  <si>
    <t>ІV</t>
  </si>
  <si>
    <t>Витрати на збут</t>
  </si>
  <si>
    <t>III</t>
  </si>
  <si>
    <t>Адміністративні витрати</t>
  </si>
  <si>
    <t>II</t>
  </si>
  <si>
    <t>Загальновиробничі витрати</t>
  </si>
  <si>
    <t>2.</t>
  </si>
  <si>
    <t>плата за  надра , збір за спецводокористування</t>
  </si>
  <si>
    <t>1.3.3</t>
  </si>
  <si>
    <t>1.3.2</t>
  </si>
  <si>
    <t>внески на загальнообов'язкове державне соціальне страхування для виробничого персоналу;37,87%</t>
  </si>
  <si>
    <t>1.3.1</t>
  </si>
  <si>
    <t>Інші прямі витрати, в т.ч.:</t>
  </si>
  <si>
    <t>1.3</t>
  </si>
  <si>
    <t>Прямі витрати на оплату праці</t>
  </si>
  <si>
    <t>1.2</t>
  </si>
  <si>
    <t>Інші прямі витрати</t>
  </si>
  <si>
    <t>1.1.3</t>
  </si>
  <si>
    <t>реагенти</t>
  </si>
  <si>
    <t>1.1.2</t>
  </si>
  <si>
    <t>електроенергія на технологічні потреби</t>
  </si>
  <si>
    <t>1.1.1</t>
  </si>
  <si>
    <t>Прямі матеріальні витрати, в т.ч.</t>
  </si>
  <si>
    <t>1.1</t>
  </si>
  <si>
    <t>Прямі витрати, в т.ч.</t>
  </si>
  <si>
    <t>1.</t>
  </si>
  <si>
    <t xml:space="preserve">Виробнича собівартість </t>
  </si>
  <si>
    <t>I</t>
  </si>
  <si>
    <t>%</t>
  </si>
  <si>
    <t xml:space="preserve">Планова собівартість </t>
  </si>
  <si>
    <t>Водовідведення</t>
  </si>
  <si>
    <t>Водопостачання</t>
  </si>
  <si>
    <t>Найменування</t>
  </si>
  <si>
    <t xml:space="preserve">                                                                     Додаток№ 1.3                                                                                                                                               Повна планова собівартість   по МКП " Сватівському  водоканалу"
</t>
  </si>
  <si>
    <t>,</t>
  </si>
  <si>
    <t xml:space="preserve">Тариф,з ПДВ                                                                                2,3 группа - бюджетним установам ,іншим споживачам  </t>
  </si>
  <si>
    <t>Тариф,з ПДВ                                                                                   1 группа -населення</t>
  </si>
  <si>
    <t xml:space="preserve">податок, збір </t>
  </si>
  <si>
    <t>7</t>
  </si>
  <si>
    <t>Паливо-мастильні матеріали</t>
  </si>
  <si>
    <t>6</t>
  </si>
  <si>
    <t xml:space="preserve">Внески на загальнообов'язкове соціально страхування </t>
  </si>
  <si>
    <t>5</t>
  </si>
  <si>
    <t xml:space="preserve">Заробітна плата </t>
  </si>
  <si>
    <t>4</t>
  </si>
  <si>
    <t xml:space="preserve">Матеріали </t>
  </si>
  <si>
    <t>3</t>
  </si>
  <si>
    <t xml:space="preserve">Елетроенергія </t>
  </si>
  <si>
    <t>2</t>
  </si>
  <si>
    <t>Планова реалізація стоков</t>
  </si>
  <si>
    <t>централізоване водовідведення</t>
  </si>
  <si>
    <t>Тариф,з ПДВ                                                                                    1 группа -населення</t>
  </si>
  <si>
    <t>податок  , збір .</t>
  </si>
  <si>
    <t>Амортизація основних засобів, інших необоротних матеріальних і нематеріальних активів виробничого призначення</t>
  </si>
  <si>
    <t>Планова реалізація води</t>
  </si>
  <si>
    <t>удел.вага ,%</t>
  </si>
  <si>
    <t>В таріфе грн/1м3</t>
  </si>
  <si>
    <t xml:space="preserve">Повна собівартість </t>
  </si>
  <si>
    <t>2016 р</t>
  </si>
  <si>
    <t>№</t>
  </si>
  <si>
    <t xml:space="preserve">                                                                                                                                                                             Додаток№ 1.2                                                                                                                                                                           Структура тарифних складових у планової собівартості ,  удельная вага за группами споживачів в тарифе на виробництво та постачання послуги з централізованого водопостачання   по МКП "Сватівський водоканалу"  на 2016 рік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</si>
</sst>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,##0&quot;р.&quot;;[Red]\-#,##0&quot;р.&quot;"/>
    <numFmt numFmtId="167" formatCode="0.0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mbria"/>
      <family val="1"/>
      <charset val="204"/>
    </font>
    <font>
      <b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1" fillId="0" borderId="0"/>
    <xf numFmtId="0" fontId="28" fillId="0" borderId="0"/>
    <xf numFmtId="0" fontId="29" fillId="0" borderId="0"/>
    <xf numFmtId="0" fontId="32" fillId="0" borderId="0"/>
  </cellStyleXfs>
  <cellXfs count="194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/>
    <xf numFmtId="2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2" fontId="0" fillId="0" borderId="0" xfId="0" applyNumberFormat="1" applyAlignment="1">
      <alignment horizontal="left"/>
    </xf>
    <xf numFmtId="2" fontId="4" fillId="0" borderId="0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vertical="top" wrapText="1"/>
    </xf>
    <xf numFmtId="2" fontId="13" fillId="0" borderId="0" xfId="0" applyNumberFormat="1" applyFont="1"/>
    <xf numFmtId="2" fontId="14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 applyProtection="1">
      <alignment horizontal="left" wrapText="1"/>
      <protection locked="0"/>
    </xf>
    <xf numFmtId="2" fontId="14" fillId="0" borderId="1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Border="1"/>
    <xf numFmtId="0" fontId="14" fillId="0" borderId="0" xfId="0" applyFont="1"/>
    <xf numFmtId="2" fontId="14" fillId="0" borderId="1" xfId="0" applyNumberFormat="1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2" fontId="14" fillId="0" borderId="0" xfId="0" applyNumberFormat="1" applyFont="1"/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/>
    <xf numFmtId="164" fontId="11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/>
    </xf>
    <xf numFmtId="164" fontId="14" fillId="0" borderId="1" xfId="0" applyNumberFormat="1" applyFont="1" applyBorder="1"/>
    <xf numFmtId="2" fontId="10" fillId="0" borderId="1" xfId="0" applyNumberFormat="1" applyFont="1" applyBorder="1" applyAlignment="1">
      <alignment vertical="top" wrapText="1"/>
    </xf>
    <xf numFmtId="2" fontId="14" fillId="0" borderId="1" xfId="0" applyNumberFormat="1" applyFont="1" applyBorder="1" applyAlignment="1">
      <alignment horizontal="right" wrapText="1"/>
    </xf>
    <xf numFmtId="0" fontId="0" fillId="0" borderId="0" xfId="0" applyFont="1"/>
    <xf numFmtId="0" fontId="8" fillId="0" borderId="0" xfId="0" applyFont="1" applyAlignment="1">
      <alignment horizontal="right"/>
    </xf>
    <xf numFmtId="0" fontId="18" fillId="0" borderId="0" xfId="0" applyFont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/>
    <xf numFmtId="2" fontId="0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0" fillId="0" borderId="0" xfId="0" applyFont="1" applyAlignment="1">
      <alignment vertical="distributed"/>
    </xf>
    <xf numFmtId="0" fontId="13" fillId="0" borderId="0" xfId="0" applyNumberFormat="1" applyFont="1"/>
    <xf numFmtId="2" fontId="20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/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1" fillId="0" borderId="0" xfId="1"/>
    <xf numFmtId="0" fontId="22" fillId="0" borderId="0" xfId="1" applyFont="1"/>
    <xf numFmtId="0" fontId="6" fillId="0" borderId="0" xfId="1" applyFont="1" applyAlignment="1"/>
    <xf numFmtId="0" fontId="6" fillId="0" borderId="0" xfId="1" applyFont="1"/>
    <xf numFmtId="0" fontId="6" fillId="0" borderId="0" xfId="1" applyFont="1" applyAlignment="1">
      <alignment horizontal="left"/>
    </xf>
    <xf numFmtId="0" fontId="21" fillId="0" borderId="0" xfId="1" applyFill="1"/>
    <xf numFmtId="0" fontId="23" fillId="0" borderId="0" xfId="1" applyFont="1" applyAlignment="1">
      <alignment horizontal="right"/>
    </xf>
    <xf numFmtId="0" fontId="23" fillId="0" borderId="0" xfId="1" applyFont="1"/>
    <xf numFmtId="0" fontId="24" fillId="0" borderId="0" xfId="1" applyFont="1"/>
    <xf numFmtId="0" fontId="19" fillId="0" borderId="0" xfId="1" applyFont="1" applyAlignment="1">
      <alignment horizontal="right"/>
    </xf>
    <xf numFmtId="0" fontId="19" fillId="0" borderId="0" xfId="1" applyFont="1"/>
    <xf numFmtId="164" fontId="8" fillId="0" borderId="1" xfId="1" applyNumberFormat="1" applyFont="1" applyFill="1" applyBorder="1" applyAlignment="1">
      <alignment horizontal="center" vertical="center"/>
    </xf>
    <xf numFmtId="164" fontId="25" fillId="0" borderId="1" xfId="1" applyNumberFormat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/>
    </xf>
    <xf numFmtId="0" fontId="25" fillId="0" borderId="5" xfId="1" applyFont="1" applyFill="1" applyBorder="1"/>
    <xf numFmtId="0" fontId="8" fillId="0" borderId="6" xfId="1" applyFont="1" applyFill="1" applyBorder="1" applyAlignment="1">
      <alignment wrapText="1"/>
    </xf>
    <xf numFmtId="164" fontId="25" fillId="0" borderId="3" xfId="1" applyNumberFormat="1" applyFont="1" applyFill="1" applyBorder="1" applyAlignment="1">
      <alignment horizontal="center" vertical="center"/>
    </xf>
    <xf numFmtId="2" fontId="25" fillId="0" borderId="3" xfId="1" applyNumberFormat="1" applyFont="1" applyFill="1" applyBorder="1" applyAlignment="1">
      <alignment horizontal="center" vertical="center"/>
    </xf>
    <xf numFmtId="1" fontId="25" fillId="0" borderId="3" xfId="1" applyNumberFormat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/>
    </xf>
    <xf numFmtId="0" fontId="8" fillId="0" borderId="6" xfId="1" applyFont="1" applyFill="1" applyBorder="1"/>
    <xf numFmtId="165" fontId="21" fillId="0" borderId="0" xfId="1" applyNumberFormat="1" applyFill="1"/>
    <xf numFmtId="165" fontId="25" fillId="0" borderId="3" xfId="1" applyNumberFormat="1" applyFont="1" applyFill="1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/>
    </xf>
    <xf numFmtId="0" fontId="27" fillId="0" borderId="0" xfId="1" applyFont="1"/>
    <xf numFmtId="0" fontId="28" fillId="0" borderId="0" xfId="2"/>
    <xf numFmtId="2" fontId="28" fillId="0" borderId="0" xfId="2" applyNumberFormat="1"/>
    <xf numFmtId="0" fontId="30" fillId="0" borderId="8" xfId="3" applyFont="1" applyFill="1" applyBorder="1" applyAlignment="1">
      <alignment horizontal="left" vertical="center" wrapText="1"/>
    </xf>
    <xf numFmtId="0" fontId="30" fillId="0" borderId="8" xfId="3" applyFont="1" applyFill="1" applyBorder="1" applyAlignment="1">
      <alignment horizontal="center" vertical="center" wrapText="1"/>
    </xf>
    <xf numFmtId="9" fontId="28" fillId="0" borderId="1" xfId="2" applyNumberFormat="1" applyBorder="1"/>
    <xf numFmtId="2" fontId="30" fillId="0" borderId="1" xfId="3" applyNumberFormat="1" applyFont="1" applyFill="1" applyBorder="1" applyAlignment="1">
      <alignment horizontal="center" vertical="center" wrapText="1"/>
    </xf>
    <xf numFmtId="2" fontId="31" fillId="0" borderId="1" xfId="3" applyNumberFormat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left" vertical="center" wrapText="1"/>
    </xf>
    <xf numFmtId="0" fontId="30" fillId="0" borderId="1" xfId="3" applyFont="1" applyFill="1" applyBorder="1" applyAlignment="1">
      <alignment horizontal="center" vertical="center" wrapText="1"/>
    </xf>
    <xf numFmtId="0" fontId="28" fillId="0" borderId="1" xfId="2" applyBorder="1"/>
    <xf numFmtId="2" fontId="28" fillId="0" borderId="1" xfId="2" applyNumberFormat="1" applyBorder="1"/>
    <xf numFmtId="10" fontId="28" fillId="0" borderId="1" xfId="2" applyNumberFormat="1" applyBorder="1"/>
    <xf numFmtId="167" fontId="28" fillId="0" borderId="1" xfId="2" applyNumberFormat="1" applyBorder="1"/>
    <xf numFmtId="49" fontId="30" fillId="0" borderId="1" xfId="4" applyNumberFormat="1" applyFont="1" applyBorder="1" applyAlignment="1">
      <alignment horizontal="center" vertical="center"/>
    </xf>
    <xf numFmtId="0" fontId="33" fillId="0" borderId="1" xfId="2" applyFont="1" applyFill="1" applyBorder="1"/>
    <xf numFmtId="2" fontId="31" fillId="0" borderId="1" xfId="3" applyNumberFormat="1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left" vertical="center" wrapText="1"/>
    </xf>
    <xf numFmtId="49" fontId="31" fillId="0" borderId="1" xfId="4" applyNumberFormat="1" applyFont="1" applyBorder="1" applyAlignment="1">
      <alignment horizontal="center" vertical="center"/>
    </xf>
    <xf numFmtId="0" fontId="31" fillId="0" borderId="1" xfId="3" applyFont="1" applyBorder="1" applyAlignment="1">
      <alignment horizontal="left" vertical="center" wrapText="1"/>
    </xf>
    <xf numFmtId="2" fontId="30" fillId="0" borderId="1" xfId="3" applyNumberFormat="1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/>
    </xf>
    <xf numFmtId="0" fontId="30" fillId="0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35" fillId="0" borderId="0" xfId="2" applyFont="1"/>
    <xf numFmtId="0" fontId="36" fillId="0" borderId="0" xfId="2" applyFont="1" applyAlignment="1"/>
    <xf numFmtId="0" fontId="35" fillId="0" borderId="1" xfId="2" applyFont="1" applyBorder="1"/>
    <xf numFmtId="14" fontId="35" fillId="0" borderId="1" xfId="2" applyNumberFormat="1" applyFont="1" applyBorder="1"/>
    <xf numFmtId="0" fontId="37" fillId="0" borderId="1" xfId="3" applyFont="1" applyFill="1" applyBorder="1" applyAlignment="1">
      <alignment horizontal="left" vertical="center" wrapText="1"/>
    </xf>
    <xf numFmtId="0" fontId="38" fillId="0" borderId="1" xfId="3" applyFont="1" applyFill="1" applyBorder="1" applyAlignment="1">
      <alignment horizontal="center" vertical="center" wrapText="1"/>
    </xf>
    <xf numFmtId="2" fontId="35" fillId="0" borderId="1" xfId="2" applyNumberFormat="1" applyFont="1" applyBorder="1"/>
    <xf numFmtId="164" fontId="35" fillId="0" borderId="1" xfId="2" applyNumberFormat="1" applyFont="1" applyBorder="1"/>
    <xf numFmtId="2" fontId="38" fillId="0" borderId="1" xfId="3" applyNumberFormat="1" applyFont="1" applyFill="1" applyBorder="1" applyAlignment="1">
      <alignment horizontal="center" vertical="center" wrapText="1"/>
    </xf>
    <xf numFmtId="2" fontId="38" fillId="0" borderId="1" xfId="3" applyNumberFormat="1" applyFont="1" applyBorder="1" applyAlignment="1">
      <alignment horizontal="center" vertical="center" wrapText="1"/>
    </xf>
    <xf numFmtId="0" fontId="37" fillId="0" borderId="1" xfId="3" applyFont="1" applyBorder="1" applyAlignment="1">
      <alignment horizontal="left" vertical="center" wrapText="1"/>
    </xf>
    <xf numFmtId="2" fontId="39" fillId="0" borderId="1" xfId="2" applyNumberFormat="1" applyFont="1" applyFill="1" applyBorder="1"/>
    <xf numFmtId="164" fontId="39" fillId="0" borderId="1" xfId="2" applyNumberFormat="1" applyFont="1" applyFill="1" applyBorder="1"/>
    <xf numFmtId="2" fontId="40" fillId="0" borderId="1" xfId="3" applyNumberFormat="1" applyFont="1" applyFill="1" applyBorder="1" applyAlignment="1">
      <alignment horizontal="center" vertical="center" wrapText="1"/>
    </xf>
    <xf numFmtId="49" fontId="38" fillId="0" borderId="1" xfId="4" applyNumberFormat="1" applyFont="1" applyBorder="1" applyAlignment="1">
      <alignment horizontal="center" vertical="center"/>
    </xf>
    <xf numFmtId="0" fontId="38" fillId="0" borderId="1" xfId="4" applyFont="1" applyBorder="1" applyAlignment="1">
      <alignment horizontal="center" vertical="center"/>
    </xf>
    <xf numFmtId="0" fontId="35" fillId="0" borderId="1" xfId="2" applyFont="1" applyBorder="1" applyAlignment="1">
      <alignment vertical="justify" readingOrder="1"/>
    </xf>
    <xf numFmtId="0" fontId="34" fillId="0" borderId="1" xfId="3" applyFont="1" applyBorder="1" applyAlignment="1">
      <alignment horizontal="center" vertical="center" wrapText="1"/>
    </xf>
    <xf numFmtId="0" fontId="36" fillId="0" borderId="1" xfId="2" applyFont="1" applyBorder="1" applyAlignment="1">
      <alignment vertical="justify" readingOrder="1"/>
    </xf>
    <xf numFmtId="167" fontId="35" fillId="0" borderId="1" xfId="2" applyNumberFormat="1" applyFont="1" applyBorder="1"/>
    <xf numFmtId="167" fontId="39" fillId="0" borderId="1" xfId="2" applyNumberFormat="1" applyFont="1" applyFill="1" applyBorder="1"/>
    <xf numFmtId="2" fontId="35" fillId="0" borderId="1" xfId="2" applyNumberFormat="1" applyFont="1" applyBorder="1" applyAlignment="1">
      <alignment wrapText="1"/>
    </xf>
    <xf numFmtId="2" fontId="38" fillId="0" borderId="1" xfId="3" applyNumberFormat="1" applyFont="1" applyFill="1" applyBorder="1" applyAlignment="1">
      <alignment horizontal="center" wrapText="1"/>
    </xf>
    <xf numFmtId="0" fontId="41" fillId="0" borderId="1" xfId="3" applyFont="1" applyBorder="1" applyAlignment="1">
      <alignment vertical="center" wrapText="1"/>
    </xf>
    <xf numFmtId="0" fontId="41" fillId="0" borderId="1" xfId="3" applyFont="1" applyBorder="1" applyAlignment="1">
      <alignment horizontal="center" vertical="center" wrapText="1"/>
    </xf>
    <xf numFmtId="2" fontId="36" fillId="0" borderId="1" xfId="2" applyNumberFormat="1" applyFont="1" applyBorder="1" applyAlignment="1">
      <alignment wrapText="1"/>
    </xf>
    <xf numFmtId="2" fontId="37" fillId="0" borderId="1" xfId="3" applyNumberFormat="1" applyFont="1" applyFill="1" applyBorder="1" applyAlignment="1">
      <alignment horizontal="center" wrapText="1"/>
    </xf>
    <xf numFmtId="2" fontId="37" fillId="0" borderId="1" xfId="3" applyNumberFormat="1" applyFont="1" applyFill="1" applyBorder="1" applyAlignment="1">
      <alignment horizontal="center" wrapText="1"/>
    </xf>
    <xf numFmtId="0" fontId="36" fillId="0" borderId="1" xfId="2" applyFont="1" applyBorder="1" applyAlignment="1">
      <alignment horizontal="center" vertical="justify" readingOrder="1"/>
    </xf>
    <xf numFmtId="0" fontId="35" fillId="0" borderId="9" xfId="2" applyFont="1" applyBorder="1" applyAlignment="1">
      <alignment horizontal="left" vertical="justify" readingOrder="1"/>
    </xf>
    <xf numFmtId="0" fontId="35" fillId="0" borderId="0" xfId="2" applyFont="1" applyBorder="1" applyAlignment="1">
      <alignment horizontal="left" vertical="justify" readingOrder="1"/>
    </xf>
    <xf numFmtId="0" fontId="36" fillId="0" borderId="0" xfId="2" applyFont="1" applyAlignment="1">
      <alignment horizontal="left"/>
    </xf>
    <xf numFmtId="0" fontId="34" fillId="0" borderId="2" xfId="3" applyFont="1" applyBorder="1" applyAlignment="1">
      <alignment horizontal="center" vertical="center" wrapText="1"/>
    </xf>
    <xf numFmtId="0" fontId="34" fillId="0" borderId="1" xfId="3" applyFont="1" applyBorder="1" applyAlignment="1">
      <alignment vertical="center" wrapText="1"/>
    </xf>
    <xf numFmtId="0" fontId="34" fillId="0" borderId="1" xfId="3" applyFont="1" applyBorder="1" applyAlignment="1">
      <alignment horizontal="center" vertical="center" wrapText="1"/>
    </xf>
    <xf numFmtId="2" fontId="37" fillId="0" borderId="1" xfId="3" applyNumberFormat="1" applyFont="1" applyFill="1" applyBorder="1" applyAlignment="1">
      <alignment horizontal="center" vertical="center" wrapText="1"/>
    </xf>
    <xf numFmtId="0" fontId="30" fillId="0" borderId="0" xfId="3" applyFont="1" applyFill="1" applyBorder="1" applyAlignment="1">
      <alignment horizontal="left" vertical="center" wrapText="1"/>
    </xf>
    <xf numFmtId="0" fontId="28" fillId="0" borderId="0" xfId="2" applyAlignment="1"/>
    <xf numFmtId="0" fontId="34" fillId="0" borderId="0" xfId="3" applyFont="1" applyBorder="1" applyAlignment="1">
      <alignment horizontal="center" vertical="center" wrapText="1"/>
    </xf>
    <xf numFmtId="0" fontId="28" fillId="0" borderId="0" xfId="2" applyAlignment="1">
      <alignment horizontal="center" vertical="justify" readingOrder="1"/>
    </xf>
    <xf numFmtId="0" fontId="2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top" wrapText="1"/>
    </xf>
    <xf numFmtId="166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19" fillId="0" borderId="0" xfId="0" applyFont="1" applyAlignment="1">
      <alignment horizontal="center" vertical="distributed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/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distributed"/>
    </xf>
    <xf numFmtId="0" fontId="14" fillId="0" borderId="0" xfId="0" applyFont="1" applyAlignment="1">
      <alignment horizontal="left" vertical="distributed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_Калькуляция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BreakPreview" zoomScaleSheetLayoutView="100" workbookViewId="0">
      <selection activeCell="E37" sqref="E37"/>
    </sheetView>
  </sheetViews>
  <sheetFormatPr defaultRowHeight="36.75" customHeight="1" x14ac:dyDescent="0.25"/>
  <cols>
    <col min="1" max="1" width="4.7109375" style="107" customWidth="1"/>
    <col min="2" max="2" width="64.7109375" style="107" customWidth="1"/>
    <col min="3" max="3" width="13.28515625" style="107" customWidth="1"/>
    <col min="4" max="4" width="26" style="107" customWidth="1"/>
    <col min="5" max="5" width="21.85546875" style="107" customWidth="1"/>
    <col min="6" max="6" width="20.28515625" style="107" customWidth="1"/>
    <col min="7" max="7" width="12.28515625" style="107" customWidth="1"/>
    <col min="8" max="16384" width="9.140625" style="107"/>
  </cols>
  <sheetData>
    <row r="1" spans="1:6" ht="117" customHeight="1" x14ac:dyDescent="0.25">
      <c r="A1" s="162" t="s">
        <v>198</v>
      </c>
      <c r="B1" s="162"/>
      <c r="C1" s="162"/>
      <c r="D1" s="162"/>
      <c r="E1" s="162"/>
      <c r="F1" s="162"/>
    </row>
    <row r="2" spans="1:6" ht="33" customHeight="1" x14ac:dyDescent="0.25">
      <c r="A2" s="163" t="s">
        <v>197</v>
      </c>
      <c r="B2" s="164" t="s">
        <v>170</v>
      </c>
      <c r="C2" s="165" t="s">
        <v>134</v>
      </c>
      <c r="D2" s="164" t="s">
        <v>196</v>
      </c>
      <c r="E2" s="164"/>
      <c r="F2" s="164"/>
    </row>
    <row r="3" spans="1:6" ht="54.75" customHeight="1" x14ac:dyDescent="0.3">
      <c r="A3" s="163"/>
      <c r="B3" s="164"/>
      <c r="C3" s="165"/>
      <c r="D3" s="156" t="s">
        <v>195</v>
      </c>
      <c r="E3" s="155" t="s">
        <v>194</v>
      </c>
      <c r="F3" s="155" t="s">
        <v>193</v>
      </c>
    </row>
    <row r="4" spans="1:6" ht="33" customHeight="1" x14ac:dyDescent="0.3">
      <c r="A4" s="153"/>
      <c r="B4" s="154"/>
      <c r="C4" s="138"/>
      <c r="D4" s="157"/>
      <c r="E4" s="157"/>
      <c r="F4" s="151"/>
    </row>
    <row r="5" spans="1:6" ht="23.25" customHeight="1" x14ac:dyDescent="0.3">
      <c r="A5" s="153"/>
      <c r="B5" s="147" t="s">
        <v>192</v>
      </c>
      <c r="C5" s="138" t="s">
        <v>111</v>
      </c>
      <c r="D5" s="152"/>
      <c r="E5" s="152">
        <v>170500</v>
      </c>
      <c r="F5" s="151"/>
    </row>
    <row r="6" spans="1:6" ht="68.25" customHeight="1" x14ac:dyDescent="0.3">
      <c r="A6" s="145">
        <v>1</v>
      </c>
      <c r="B6" s="134" t="s">
        <v>191</v>
      </c>
      <c r="C6" s="139" t="s">
        <v>134</v>
      </c>
      <c r="D6" s="139">
        <f>19214.93+1284.54+2201.76</f>
        <v>22701.230000000003</v>
      </c>
      <c r="E6" s="137">
        <f>D6/E5</f>
        <v>0.13314504398826982</v>
      </c>
      <c r="F6" s="149">
        <f>E6/E14*100</f>
        <v>1.2834865475989266</v>
      </c>
    </row>
    <row r="7" spans="1:6" ht="20.25" customHeight="1" x14ac:dyDescent="0.3">
      <c r="A7" s="144" t="s">
        <v>186</v>
      </c>
      <c r="B7" s="140" t="s">
        <v>185</v>
      </c>
      <c r="C7" s="139" t="s">
        <v>134</v>
      </c>
      <c r="D7" s="139">
        <f>421699.92+8896.45+10266.01</f>
        <v>440862.38</v>
      </c>
      <c r="E7" s="137">
        <f>D7/E5</f>
        <v>2.5857031085043989</v>
      </c>
      <c r="F7" s="149">
        <f>E7/E14*100</f>
        <v>24.925562803092426</v>
      </c>
    </row>
    <row r="8" spans="1:6" ht="21.75" customHeight="1" x14ac:dyDescent="0.3">
      <c r="A8" s="144" t="s">
        <v>184</v>
      </c>
      <c r="B8" s="140" t="s">
        <v>183</v>
      </c>
      <c r="C8" s="139"/>
      <c r="D8" s="139">
        <f>26551.2+4400+8658</f>
        <v>39609.199999999997</v>
      </c>
      <c r="E8" s="137">
        <v>0.16</v>
      </c>
      <c r="F8" s="149">
        <f>E8/E14*100</f>
        <v>1.5423619345074564</v>
      </c>
    </row>
    <row r="9" spans="1:6" ht="23.25" customHeight="1" x14ac:dyDescent="0.3">
      <c r="A9" s="144" t="s">
        <v>182</v>
      </c>
      <c r="B9" s="140" t="s">
        <v>181</v>
      </c>
      <c r="C9" s="139" t="s">
        <v>134</v>
      </c>
      <c r="D9" s="138">
        <f>498750+114591.52+157171.56</f>
        <v>770513.08000000007</v>
      </c>
      <c r="E9" s="137">
        <f>D9/E5</f>
        <v>4.5191382991202351</v>
      </c>
      <c r="F9" s="149">
        <f>E9/E14*100</f>
        <v>43.563418058361385</v>
      </c>
    </row>
    <row r="10" spans="1:6" ht="42" customHeight="1" x14ac:dyDescent="0.3">
      <c r="A10" s="144" t="s">
        <v>180</v>
      </c>
      <c r="B10" s="140" t="s">
        <v>179</v>
      </c>
      <c r="C10" s="139"/>
      <c r="D10" s="138">
        <f>109725+25210.13+34577.74</f>
        <v>169512.87</v>
      </c>
      <c r="E10" s="137">
        <f>D10/E5</f>
        <v>0.99421038123167149</v>
      </c>
      <c r="F10" s="149">
        <f>E10/E14*100</f>
        <v>9.5839515431492295</v>
      </c>
    </row>
    <row r="11" spans="1:6" ht="25.5" customHeight="1" x14ac:dyDescent="0.3">
      <c r="A11" s="144" t="s">
        <v>178</v>
      </c>
      <c r="B11" s="140" t="s">
        <v>177</v>
      </c>
      <c r="C11" s="139" t="s">
        <v>134</v>
      </c>
      <c r="D11" s="138">
        <v>143147.76999999999</v>
      </c>
      <c r="E11" s="137">
        <f>D11/E5</f>
        <v>0.83957636363636357</v>
      </c>
      <c r="F11" s="149">
        <f>E11/E14*100</f>
        <v>8.0933164024057334</v>
      </c>
    </row>
    <row r="12" spans="1:6" ht="51" customHeight="1" x14ac:dyDescent="0.3">
      <c r="A12" s="144" t="s">
        <v>176</v>
      </c>
      <c r="B12" s="134" t="s">
        <v>190</v>
      </c>
      <c r="C12" s="139" t="s">
        <v>134</v>
      </c>
      <c r="D12" s="143">
        <v>28000</v>
      </c>
      <c r="E12" s="142">
        <f>D12/E5</f>
        <v>0.16422287390029325</v>
      </c>
      <c r="F12" s="150">
        <f>E12/E14*100</f>
        <v>1.5830694342451899</v>
      </c>
    </row>
    <row r="13" spans="1:6" ht="23.25" customHeight="1" x14ac:dyDescent="0.3">
      <c r="A13" s="135">
        <v>8</v>
      </c>
      <c r="B13" s="140" t="s">
        <v>137</v>
      </c>
      <c r="C13" s="139" t="s">
        <v>134</v>
      </c>
      <c r="D13" s="138">
        <f>1768718.67-(D6-D7-D8-D9-D10-D11-D12)</f>
        <v>3337662.74</v>
      </c>
      <c r="E13" s="137">
        <f>E14-E12-E11-E10-E9-E8-E7-E6</f>
        <v>0.97770392961876862</v>
      </c>
      <c r="F13" s="149">
        <f>E13/E14*100</f>
        <v>9.4248332766396636</v>
      </c>
    </row>
    <row r="14" spans="1:6" ht="24" customHeight="1" x14ac:dyDescent="0.3">
      <c r="A14" s="135"/>
      <c r="B14" s="140" t="s">
        <v>135</v>
      </c>
      <c r="C14" s="139" t="s">
        <v>134</v>
      </c>
      <c r="D14" s="138"/>
      <c r="E14" s="132">
        <v>10.373699999999999</v>
      </c>
      <c r="F14" s="149">
        <f>SUM(F6:F13)</f>
        <v>100</v>
      </c>
    </row>
    <row r="15" spans="1:6" ht="42.75" customHeight="1" x14ac:dyDescent="0.3">
      <c r="A15" s="135"/>
      <c r="B15" s="134" t="s">
        <v>189</v>
      </c>
      <c r="C15" s="132" t="s">
        <v>134</v>
      </c>
      <c r="D15" s="132">
        <v>2016</v>
      </c>
      <c r="E15" s="132">
        <v>11.836</v>
      </c>
      <c r="F15" s="132"/>
    </row>
    <row r="16" spans="1:6" ht="68.25" customHeight="1" x14ac:dyDescent="0.3">
      <c r="A16" s="135"/>
      <c r="B16" s="134" t="s">
        <v>173</v>
      </c>
      <c r="C16" s="132" t="s">
        <v>134</v>
      </c>
      <c r="D16" s="132">
        <v>2016</v>
      </c>
      <c r="E16" s="132">
        <v>14.1958</v>
      </c>
      <c r="F16" s="132"/>
    </row>
    <row r="17" spans="1:6" ht="27" customHeight="1" x14ac:dyDescent="0.3">
      <c r="A17" s="146"/>
      <c r="B17" s="148"/>
      <c r="C17" s="158" t="s">
        <v>188</v>
      </c>
      <c r="D17" s="158"/>
      <c r="E17" s="158"/>
      <c r="F17" s="132"/>
    </row>
    <row r="18" spans="1:6" ht="2.25" hidden="1" customHeight="1" x14ac:dyDescent="0.3">
      <c r="A18" s="146"/>
      <c r="B18" s="148"/>
      <c r="C18" s="146"/>
      <c r="D18" s="132"/>
      <c r="E18" s="132"/>
      <c r="F18" s="132"/>
    </row>
    <row r="19" spans="1:6" ht="16.5" hidden="1" customHeight="1" x14ac:dyDescent="0.3">
      <c r="A19" s="146"/>
      <c r="B19" s="148"/>
      <c r="C19" s="146"/>
      <c r="D19" s="132"/>
      <c r="E19" s="132"/>
      <c r="F19" s="132"/>
    </row>
    <row r="20" spans="1:6" ht="36.75" hidden="1" customHeight="1" x14ac:dyDescent="0.3">
      <c r="A20" s="146"/>
      <c r="B20" s="148"/>
      <c r="C20" s="146"/>
      <c r="D20" s="132"/>
      <c r="E20" s="132"/>
      <c r="F20" s="132"/>
    </row>
    <row r="21" spans="1:6" ht="2.25" hidden="1" customHeight="1" x14ac:dyDescent="0.3">
      <c r="A21" s="146"/>
      <c r="B21" s="148"/>
      <c r="C21" s="146"/>
      <c r="D21" s="132"/>
      <c r="E21" s="132"/>
      <c r="F21" s="132"/>
    </row>
    <row r="22" spans="1:6" ht="36.75" hidden="1" customHeight="1" thickBot="1" x14ac:dyDescent="0.35">
      <c r="A22" s="146"/>
      <c r="B22" s="148"/>
      <c r="C22" s="146"/>
      <c r="D22" s="132"/>
      <c r="E22" s="132"/>
      <c r="F22" s="132"/>
    </row>
    <row r="23" spans="1:6" ht="36.75" hidden="1" customHeight="1" x14ac:dyDescent="0.3">
      <c r="A23" s="146"/>
      <c r="B23" s="148"/>
      <c r="C23" s="146"/>
      <c r="D23" s="132"/>
      <c r="E23" s="132"/>
      <c r="F23" s="132"/>
    </row>
    <row r="24" spans="1:6" ht="20.25" hidden="1" customHeight="1" x14ac:dyDescent="0.3">
      <c r="A24" s="146"/>
      <c r="B24" s="148"/>
      <c r="C24" s="146"/>
      <c r="D24" s="132"/>
      <c r="E24" s="132"/>
      <c r="F24" s="132"/>
    </row>
    <row r="25" spans="1:6" ht="36.75" hidden="1" customHeight="1" x14ac:dyDescent="0.3">
      <c r="A25" s="146"/>
      <c r="B25" s="148"/>
      <c r="C25" s="146"/>
      <c r="D25" s="132"/>
      <c r="E25" s="132"/>
      <c r="F25" s="132"/>
    </row>
    <row r="26" spans="1:6" ht="36.75" hidden="1" customHeight="1" x14ac:dyDescent="0.3">
      <c r="A26" s="146"/>
      <c r="B26" s="148"/>
      <c r="C26" s="146"/>
      <c r="D26" s="132"/>
      <c r="E26" s="132"/>
      <c r="F26" s="132"/>
    </row>
    <row r="27" spans="1:6" ht="36.75" customHeight="1" x14ac:dyDescent="0.3">
      <c r="A27" s="146"/>
      <c r="B27" s="147" t="s">
        <v>187</v>
      </c>
      <c r="C27" s="146" t="s">
        <v>111</v>
      </c>
      <c r="D27" s="132"/>
      <c r="E27" s="132">
        <v>220500</v>
      </c>
      <c r="F27" s="132"/>
    </row>
    <row r="28" spans="1:6" ht="72.75" customHeight="1" x14ac:dyDescent="0.3">
      <c r="A28" s="145">
        <v>1</v>
      </c>
      <c r="B28" s="134" t="s">
        <v>13</v>
      </c>
      <c r="C28" s="139" t="s">
        <v>134</v>
      </c>
      <c r="D28" s="139">
        <f>18148.82+1123.18+1830.35</f>
        <v>21102.35</v>
      </c>
      <c r="E28" s="137">
        <v>0.40089999999999998</v>
      </c>
      <c r="F28" s="136">
        <f>E28/E36*100</f>
        <v>4.5771632776553597</v>
      </c>
    </row>
    <row r="29" spans="1:6" ht="24.75" customHeight="1" x14ac:dyDescent="0.3">
      <c r="A29" s="144" t="s">
        <v>186</v>
      </c>
      <c r="B29" s="140" t="s">
        <v>185</v>
      </c>
      <c r="C29" s="139" t="s">
        <v>134</v>
      </c>
      <c r="D29" s="139">
        <f>138447.22+9599.29+11077.04</f>
        <v>159123.55000000002</v>
      </c>
      <c r="E29" s="137">
        <f>341389.92/270000</f>
        <v>1.264407111111111</v>
      </c>
      <c r="F29" s="136">
        <f>E29/E36*100</f>
        <v>14.436013462170314</v>
      </c>
    </row>
    <row r="30" spans="1:6" ht="23.25" customHeight="1" x14ac:dyDescent="0.3">
      <c r="A30" s="144" t="s">
        <v>184</v>
      </c>
      <c r="B30" s="140" t="s">
        <v>183</v>
      </c>
      <c r="C30" s="139"/>
      <c r="D30" s="139">
        <f>28648.8+9342</f>
        <v>37990.800000000003</v>
      </c>
      <c r="E30" s="137">
        <v>0.35039999999999999</v>
      </c>
      <c r="F30" s="136">
        <f>E30/E36*100</f>
        <v>4.0005936954114194</v>
      </c>
    </row>
    <row r="31" spans="1:6" ht="20.25" customHeight="1" x14ac:dyDescent="0.3">
      <c r="A31" s="144" t="s">
        <v>182</v>
      </c>
      <c r="B31" s="140" t="s">
        <v>181</v>
      </c>
      <c r="C31" s="139" t="s">
        <v>134</v>
      </c>
      <c r="D31" s="138">
        <f>872634+123644.48+169588.44</f>
        <v>1165866.92</v>
      </c>
      <c r="E31" s="137">
        <f>607273.12/270000</f>
        <v>2.2491597037037039</v>
      </c>
      <c r="F31" s="136">
        <f>E31/E36*100</f>
        <v>25.679149916125727</v>
      </c>
    </row>
    <row r="32" spans="1:6" ht="36.75" customHeight="1" x14ac:dyDescent="0.3">
      <c r="A32" s="144" t="s">
        <v>180</v>
      </c>
      <c r="B32" s="140" t="s">
        <v>179</v>
      </c>
      <c r="C32" s="139"/>
      <c r="D32" s="138">
        <f>109725+25210.13+34577.74</f>
        <v>169512.87</v>
      </c>
      <c r="E32" s="137">
        <f>133600/270000</f>
        <v>0.49481481481481482</v>
      </c>
      <c r="F32" s="136">
        <f>E32/E36*100</f>
        <v>5.6494093280374358</v>
      </c>
    </row>
    <row r="33" spans="1:6" ht="22.5" customHeight="1" x14ac:dyDescent="0.3">
      <c r="A33" s="144" t="s">
        <v>178</v>
      </c>
      <c r="B33" s="140" t="s">
        <v>177</v>
      </c>
      <c r="C33" s="139" t="s">
        <v>134</v>
      </c>
      <c r="D33" s="138">
        <v>138977.72</v>
      </c>
      <c r="E33" s="137">
        <f>95864.65/190000</f>
        <v>0.50455078947368415</v>
      </c>
      <c r="F33" s="136">
        <f>E33/E36*100</f>
        <v>5.7605670872810366</v>
      </c>
    </row>
    <row r="34" spans="1:6" ht="36.75" customHeight="1" x14ac:dyDescent="0.3">
      <c r="A34" s="144" t="s">
        <v>176</v>
      </c>
      <c r="B34" s="134" t="s">
        <v>175</v>
      </c>
      <c r="C34" s="139" t="s">
        <v>134</v>
      </c>
      <c r="D34" s="143">
        <v>8000</v>
      </c>
      <c r="E34" s="142">
        <f>D34/270000</f>
        <v>2.9629629629629631E-2</v>
      </c>
      <c r="F34" s="141">
        <f>E34/E36*100</f>
        <v>0.3382879837148165</v>
      </c>
    </row>
    <row r="35" spans="1:6" ht="23.25" customHeight="1" x14ac:dyDescent="0.3">
      <c r="A35" s="135">
        <v>8</v>
      </c>
      <c r="B35" s="140" t="s">
        <v>137</v>
      </c>
      <c r="C35" s="139" t="s">
        <v>134</v>
      </c>
      <c r="D35" s="138">
        <f>1931290.05-(D27-D28-D29-D30-D31-D32-D33)</f>
        <v>3623864.26</v>
      </c>
      <c r="E35" s="137">
        <f>E36-E34-E33-E32-E31-E30-E29-E28</f>
        <v>3.4648379512670555</v>
      </c>
      <c r="F35" s="136">
        <f>E35/E36*100</f>
        <v>39.558815249603889</v>
      </c>
    </row>
    <row r="36" spans="1:6" ht="29.25" customHeight="1" x14ac:dyDescent="0.3">
      <c r="A36" s="135"/>
      <c r="B36" s="140" t="s">
        <v>135</v>
      </c>
      <c r="C36" s="139" t="s">
        <v>134</v>
      </c>
      <c r="D36" s="138"/>
      <c r="E36" s="137">
        <v>8.7586999999999993</v>
      </c>
      <c r="F36" s="136">
        <f>SUM(F28:F35)</f>
        <v>100</v>
      </c>
    </row>
    <row r="37" spans="1:6" ht="36.75" customHeight="1" x14ac:dyDescent="0.3">
      <c r="A37" s="135"/>
      <c r="B37" s="134" t="s">
        <v>174</v>
      </c>
      <c r="C37" s="132" t="s">
        <v>134</v>
      </c>
      <c r="D37" s="132">
        <v>2016</v>
      </c>
      <c r="E37" s="132">
        <v>6.5388999999999999</v>
      </c>
      <c r="F37" s="132"/>
    </row>
    <row r="38" spans="1:6" ht="55.5" customHeight="1" x14ac:dyDescent="0.3">
      <c r="A38" s="135"/>
      <c r="B38" s="134" t="s">
        <v>173</v>
      </c>
      <c r="C38" s="132" t="s">
        <v>134</v>
      </c>
      <c r="D38" s="133"/>
      <c r="E38" s="132">
        <v>13.456200000000001</v>
      </c>
      <c r="F38" s="132"/>
    </row>
    <row r="39" spans="1:6" ht="36.75" customHeight="1" x14ac:dyDescent="0.3">
      <c r="A39" s="159" t="s">
        <v>172</v>
      </c>
      <c r="B39" s="159"/>
      <c r="C39" s="159"/>
      <c r="D39" s="130"/>
      <c r="E39" s="130"/>
      <c r="F39" s="130"/>
    </row>
    <row r="40" spans="1:6" ht="36.75" customHeight="1" x14ac:dyDescent="0.3">
      <c r="A40" s="160"/>
      <c r="B40" s="160"/>
      <c r="C40" s="160"/>
      <c r="D40" s="161" t="s">
        <v>109</v>
      </c>
      <c r="E40" s="161"/>
      <c r="F40" s="161"/>
    </row>
    <row r="41" spans="1:6" ht="36.75" customHeight="1" x14ac:dyDescent="0.3">
      <c r="A41" s="160"/>
      <c r="B41" s="160"/>
      <c r="C41" s="160"/>
      <c r="D41" s="131" t="s">
        <v>106</v>
      </c>
      <c r="E41" s="131"/>
      <c r="F41" s="131"/>
    </row>
    <row r="42" spans="1:6" ht="36.75" customHeight="1" x14ac:dyDescent="0.3">
      <c r="A42" s="160"/>
      <c r="B42" s="160"/>
      <c r="C42" s="160"/>
      <c r="D42" s="130"/>
      <c r="E42" s="130"/>
      <c r="F42" s="130"/>
    </row>
    <row r="43" spans="1:6" ht="36.75" customHeight="1" x14ac:dyDescent="0.3">
      <c r="A43" s="160"/>
      <c r="B43" s="160"/>
      <c r="C43" s="160"/>
      <c r="D43" s="130"/>
      <c r="E43" s="130"/>
      <c r="F43" s="130"/>
    </row>
    <row r="44" spans="1:6" ht="36.75" customHeight="1" x14ac:dyDescent="0.3">
      <c r="A44" s="160"/>
      <c r="B44" s="160"/>
      <c r="C44" s="160"/>
      <c r="D44" s="130"/>
      <c r="E44" s="130"/>
      <c r="F44" s="130"/>
    </row>
    <row r="45" spans="1:6" ht="36.75" customHeight="1" x14ac:dyDescent="0.3">
      <c r="A45" s="160"/>
      <c r="B45" s="160"/>
      <c r="C45" s="160"/>
      <c r="D45" s="130"/>
      <c r="E45" s="130"/>
      <c r="F45" s="130"/>
    </row>
    <row r="46" spans="1:6" ht="36.75" customHeight="1" x14ac:dyDescent="0.3">
      <c r="A46" s="160"/>
      <c r="B46" s="160"/>
      <c r="C46" s="160"/>
      <c r="D46" s="130"/>
      <c r="E46" s="130"/>
      <c r="F46" s="130"/>
    </row>
    <row r="47" spans="1:6" ht="36.75" customHeight="1" x14ac:dyDescent="0.3">
      <c r="A47" s="160"/>
      <c r="B47" s="160"/>
      <c r="C47" s="160"/>
      <c r="D47" s="130"/>
      <c r="E47" s="130"/>
      <c r="F47" s="130"/>
    </row>
    <row r="48" spans="1:6" ht="36.75" customHeight="1" x14ac:dyDescent="0.3">
      <c r="A48" s="160"/>
      <c r="B48" s="160"/>
      <c r="C48" s="160"/>
      <c r="D48" s="130"/>
      <c r="E48" s="130"/>
      <c r="F48" s="130"/>
    </row>
  </sheetData>
  <mergeCells count="9">
    <mergeCell ref="D4:E4"/>
    <mergeCell ref="C17:E17"/>
    <mergeCell ref="A39:C48"/>
    <mergeCell ref="D40:F40"/>
    <mergeCell ref="A1:F1"/>
    <mergeCell ref="A2:A3"/>
    <mergeCell ref="B2:B3"/>
    <mergeCell ref="C2:C3"/>
    <mergeCell ref="D2:F2"/>
  </mergeCells>
  <pageMargins left="0.82677165354330717" right="0.19685039370078741" top="0.15748031496062992" bottom="0.23622047244094491" header="0.15748031496062992" footer="0.23622047244094491"/>
  <pageSetup paperSize="9" scale="56" orientation="portrait" verticalDpi="180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topLeftCell="A16" zoomScaleSheetLayoutView="100" workbookViewId="0">
      <selection sqref="A1:I30"/>
    </sheetView>
  </sheetViews>
  <sheetFormatPr defaultRowHeight="36.75" customHeight="1" x14ac:dyDescent="0.25"/>
  <cols>
    <col min="1" max="1" width="8" style="107" customWidth="1"/>
    <col min="2" max="2" width="41.85546875" style="107" customWidth="1"/>
    <col min="3" max="3" width="5.5703125" style="107" customWidth="1"/>
    <col min="4" max="4" width="17.7109375" style="107" customWidth="1"/>
    <col min="5" max="5" width="7" style="107" customWidth="1"/>
    <col min="6" max="6" width="19.85546875" style="107" customWidth="1"/>
    <col min="7" max="7" width="9.140625" style="107"/>
    <col min="8" max="8" width="23.5703125" style="107" customWidth="1"/>
    <col min="9" max="16384" width="9.140625" style="107"/>
  </cols>
  <sheetData>
    <row r="1" spans="1:9" ht="54" customHeight="1" x14ac:dyDescent="0.25">
      <c r="A1" s="168" t="s">
        <v>171</v>
      </c>
      <c r="B1" s="168"/>
      <c r="C1" s="168"/>
      <c r="D1" s="168"/>
      <c r="E1" s="168"/>
      <c r="F1" s="168"/>
      <c r="G1" s="168"/>
      <c r="H1" s="168"/>
    </row>
    <row r="2" spans="1:9" ht="54" customHeight="1" x14ac:dyDescent="0.25">
      <c r="A2" s="129"/>
      <c r="B2" s="129" t="s">
        <v>170</v>
      </c>
      <c r="C2" s="129"/>
      <c r="D2" s="129" t="s">
        <v>169</v>
      </c>
      <c r="E2" s="129" t="s">
        <v>166</v>
      </c>
      <c r="F2" s="129" t="s">
        <v>168</v>
      </c>
      <c r="G2" s="129" t="s">
        <v>166</v>
      </c>
      <c r="H2" s="129" t="s">
        <v>167</v>
      </c>
      <c r="I2" s="129" t="s">
        <v>166</v>
      </c>
    </row>
    <row r="3" spans="1:9" ht="15" customHeight="1" x14ac:dyDescent="0.25">
      <c r="A3" s="115" t="s">
        <v>165</v>
      </c>
      <c r="B3" s="128" t="s">
        <v>164</v>
      </c>
      <c r="C3" s="122" t="s">
        <v>134</v>
      </c>
      <c r="D3" s="112">
        <f>D4+D14</f>
        <v>1424270.3</v>
      </c>
      <c r="E3" s="117">
        <f>D3/D18*100</f>
        <v>80.525542255965448</v>
      </c>
      <c r="F3" s="112">
        <f>F4+F14</f>
        <v>1567891.9300000002</v>
      </c>
      <c r="G3" s="117">
        <f>F3/F18*100</f>
        <v>81.183659078034395</v>
      </c>
      <c r="H3" s="112">
        <f>H4+H14</f>
        <v>2992162.23</v>
      </c>
      <c r="I3" s="117">
        <f>H3/H18*100</f>
        <v>80.869058870758565</v>
      </c>
    </row>
    <row r="4" spans="1:9" ht="15" customHeight="1" x14ac:dyDescent="0.25">
      <c r="A4" s="127" t="s">
        <v>163</v>
      </c>
      <c r="B4" s="114" t="s">
        <v>162</v>
      </c>
      <c r="C4" s="113" t="s">
        <v>134</v>
      </c>
      <c r="D4" s="126">
        <f>D5+D9+D10</f>
        <v>1108341.05</v>
      </c>
      <c r="E4" s="116"/>
      <c r="F4" s="126">
        <f>F5+F9+F10</f>
        <v>1257858.32</v>
      </c>
      <c r="G4" s="116"/>
      <c r="H4" s="126">
        <f>D4+F4</f>
        <v>2366199.37</v>
      </c>
      <c r="I4" s="116"/>
    </row>
    <row r="5" spans="1:9" ht="15" customHeight="1" x14ac:dyDescent="0.25">
      <c r="A5" s="120" t="s">
        <v>161</v>
      </c>
      <c r="B5" s="114" t="s">
        <v>160</v>
      </c>
      <c r="C5" s="113" t="s">
        <v>134</v>
      </c>
      <c r="D5" s="126">
        <f>D6+D7+D8</f>
        <v>452651.12</v>
      </c>
      <c r="E5" s="116"/>
      <c r="F5" s="126">
        <f>F6+F7+F8</f>
        <v>167096.01999999999</v>
      </c>
      <c r="G5" s="116"/>
      <c r="H5" s="126">
        <f>H6+H7+H8</f>
        <v>619747.14</v>
      </c>
      <c r="I5" s="116"/>
    </row>
    <row r="6" spans="1:9" ht="15" customHeight="1" x14ac:dyDescent="0.25">
      <c r="A6" s="124" t="s">
        <v>159</v>
      </c>
      <c r="B6" s="125" t="s">
        <v>158</v>
      </c>
      <c r="C6" s="113" t="s">
        <v>134</v>
      </c>
      <c r="D6" s="122">
        <v>421699.92</v>
      </c>
      <c r="E6" s="116"/>
      <c r="F6" s="122">
        <v>138447.22</v>
      </c>
      <c r="G6" s="116"/>
      <c r="H6" s="122">
        <f>D6+F6</f>
        <v>560147.14</v>
      </c>
      <c r="I6" s="116"/>
    </row>
    <row r="7" spans="1:9" ht="15" customHeight="1" x14ac:dyDescent="0.25">
      <c r="A7" s="124" t="s">
        <v>157</v>
      </c>
      <c r="B7" s="125" t="s">
        <v>156</v>
      </c>
      <c r="C7" s="113" t="s">
        <v>134</v>
      </c>
      <c r="D7" s="122">
        <v>4400</v>
      </c>
      <c r="E7" s="116"/>
      <c r="F7" s="122">
        <v>0</v>
      </c>
      <c r="G7" s="116"/>
      <c r="H7" s="122">
        <f>D7+F7</f>
        <v>4400</v>
      </c>
      <c r="I7" s="116"/>
    </row>
    <row r="8" spans="1:9" ht="15" customHeight="1" x14ac:dyDescent="0.25">
      <c r="A8" s="124" t="s">
        <v>155</v>
      </c>
      <c r="B8" s="125" t="s">
        <v>154</v>
      </c>
      <c r="C8" s="113" t="s">
        <v>134</v>
      </c>
      <c r="D8" s="122">
        <v>26551.200000000001</v>
      </c>
      <c r="E8" s="116"/>
      <c r="F8" s="122">
        <v>28648.799999999999</v>
      </c>
      <c r="G8" s="116"/>
      <c r="H8" s="122">
        <f>D8+F8</f>
        <v>55200</v>
      </c>
      <c r="I8" s="116"/>
    </row>
    <row r="9" spans="1:9" ht="15" customHeight="1" x14ac:dyDescent="0.25">
      <c r="A9" s="120" t="s">
        <v>153</v>
      </c>
      <c r="B9" s="114" t="s">
        <v>152</v>
      </c>
      <c r="C9" s="113" t="s">
        <v>134</v>
      </c>
      <c r="D9" s="112">
        <v>498750</v>
      </c>
      <c r="E9" s="116"/>
      <c r="F9" s="112">
        <v>872634</v>
      </c>
      <c r="G9" s="116"/>
      <c r="H9" s="112">
        <v>498750</v>
      </c>
      <c r="I9" s="116"/>
    </row>
    <row r="10" spans="1:9" ht="15" customHeight="1" x14ac:dyDescent="0.25">
      <c r="A10" s="120" t="s">
        <v>151</v>
      </c>
      <c r="B10" s="114" t="s">
        <v>150</v>
      </c>
      <c r="C10" s="113" t="s">
        <v>134</v>
      </c>
      <c r="D10" s="112">
        <f>D11+D12+D13</f>
        <v>156939.93</v>
      </c>
      <c r="E10" s="116"/>
      <c r="F10" s="112">
        <f>F11+F12+F13</f>
        <v>218128.30000000002</v>
      </c>
      <c r="G10" s="116"/>
      <c r="H10" s="112">
        <f>H11+H12+H13</f>
        <v>375068.23</v>
      </c>
      <c r="I10" s="116"/>
    </row>
    <row r="11" spans="1:9" ht="37.5" customHeight="1" x14ac:dyDescent="0.25">
      <c r="A11" s="124" t="s">
        <v>149</v>
      </c>
      <c r="B11" s="125" t="s">
        <v>148</v>
      </c>
      <c r="C11" s="113" t="s">
        <v>134</v>
      </c>
      <c r="D11" s="122">
        <v>109725</v>
      </c>
      <c r="E11" s="116"/>
      <c r="F11" s="122">
        <v>191979.48</v>
      </c>
      <c r="G11" s="116"/>
      <c r="H11" s="122">
        <f t="shared" ref="H11:H16" si="0">D11+F11</f>
        <v>301704.48</v>
      </c>
      <c r="I11" s="116"/>
    </row>
    <row r="12" spans="1:9" ht="42.75" customHeight="1" x14ac:dyDescent="0.25">
      <c r="A12" s="124" t="s">
        <v>147</v>
      </c>
      <c r="B12" s="123" t="s">
        <v>13</v>
      </c>
      <c r="C12" s="113" t="s">
        <v>134</v>
      </c>
      <c r="D12" s="122">
        <v>19214.93</v>
      </c>
      <c r="E12" s="121"/>
      <c r="F12" s="122">
        <v>18148.82</v>
      </c>
      <c r="G12" s="121"/>
      <c r="H12" s="122">
        <f t="shared" si="0"/>
        <v>37363.75</v>
      </c>
      <c r="I12" s="121"/>
    </row>
    <row r="13" spans="1:9" ht="33" customHeight="1" x14ac:dyDescent="0.25">
      <c r="A13" s="124" t="s">
        <v>146</v>
      </c>
      <c r="B13" s="123" t="s">
        <v>145</v>
      </c>
      <c r="C13" s="113" t="s">
        <v>134</v>
      </c>
      <c r="D13" s="122">
        <v>28000</v>
      </c>
      <c r="E13" s="121"/>
      <c r="F13" s="122">
        <v>8000</v>
      </c>
      <c r="G13" s="121"/>
      <c r="H13" s="122">
        <f t="shared" si="0"/>
        <v>36000</v>
      </c>
      <c r="I13" s="121"/>
    </row>
    <row r="14" spans="1:9" ht="15" customHeight="1" x14ac:dyDescent="0.25">
      <c r="A14" s="120" t="s">
        <v>144</v>
      </c>
      <c r="B14" s="114" t="s">
        <v>143</v>
      </c>
      <c r="C14" s="113" t="s">
        <v>134</v>
      </c>
      <c r="D14" s="112">
        <v>315929.25</v>
      </c>
      <c r="E14" s="119">
        <f>D14/D18*100</f>
        <v>17.862040773279112</v>
      </c>
      <c r="F14" s="112">
        <v>310033.61</v>
      </c>
      <c r="G14" s="119">
        <f>F14/F18*100</f>
        <v>16.053187350082396</v>
      </c>
      <c r="H14" s="112">
        <f t="shared" si="0"/>
        <v>625962.86</v>
      </c>
      <c r="I14" s="119">
        <f>H14/H18*100</f>
        <v>16.917875263818296</v>
      </c>
    </row>
    <row r="15" spans="1:9" ht="15" customHeight="1" x14ac:dyDescent="0.25">
      <c r="A15" s="115" t="s">
        <v>142</v>
      </c>
      <c r="B15" s="114" t="s">
        <v>141</v>
      </c>
      <c r="C15" s="113" t="s">
        <v>134</v>
      </c>
      <c r="D15" s="112">
        <v>239674.96</v>
      </c>
      <c r="E15" s="118">
        <f>D15/D18</f>
        <v>0.13550767799607158</v>
      </c>
      <c r="F15" s="112">
        <v>250347.4</v>
      </c>
      <c r="G15" s="118">
        <f>F15/F18</f>
        <v>0.12962703349504648</v>
      </c>
      <c r="H15" s="112">
        <f t="shared" si="0"/>
        <v>490022.36</v>
      </c>
      <c r="I15" s="118">
        <f>H15/H18</f>
        <v>0.13243816355113888</v>
      </c>
    </row>
    <row r="16" spans="1:9" ht="15" customHeight="1" x14ac:dyDescent="0.25">
      <c r="A16" s="115" t="s">
        <v>140</v>
      </c>
      <c r="B16" s="114" t="s">
        <v>139</v>
      </c>
      <c r="C16" s="113" t="s">
        <v>134</v>
      </c>
      <c r="D16" s="112">
        <v>104773.41</v>
      </c>
      <c r="E16" s="117">
        <f>D16/D18*100</f>
        <v>5.9236899444273972</v>
      </c>
      <c r="F16" s="112">
        <v>113050.72</v>
      </c>
      <c r="G16" s="117">
        <f>F16/F18*100</f>
        <v>5.8536375724609568</v>
      </c>
      <c r="H16" s="112">
        <f t="shared" si="0"/>
        <v>217824.13</v>
      </c>
      <c r="I16" s="117">
        <f>H16/H18*100</f>
        <v>5.8871247741275594</v>
      </c>
    </row>
    <row r="17" spans="1:9" ht="15" customHeight="1" x14ac:dyDescent="0.25">
      <c r="A17" s="115" t="s">
        <v>138</v>
      </c>
      <c r="B17" s="114" t="s">
        <v>137</v>
      </c>
      <c r="C17" s="113" t="s">
        <v>134</v>
      </c>
      <c r="D17" s="112"/>
      <c r="E17" s="116"/>
      <c r="F17" s="112"/>
      <c r="G17" s="116"/>
      <c r="H17" s="112"/>
      <c r="I17" s="116"/>
    </row>
    <row r="18" spans="1:9" ht="15" customHeight="1" x14ac:dyDescent="0.25">
      <c r="A18" s="115" t="s">
        <v>136</v>
      </c>
      <c r="B18" s="114" t="s">
        <v>135</v>
      </c>
      <c r="C18" s="113" t="s">
        <v>134</v>
      </c>
      <c r="D18" s="112">
        <f>D3+D15+D16</f>
        <v>1768718.67</v>
      </c>
      <c r="E18" s="111">
        <v>1</v>
      </c>
      <c r="F18" s="112">
        <f>F3+F15+F16</f>
        <v>1931290.05</v>
      </c>
      <c r="G18" s="111">
        <v>1</v>
      </c>
      <c r="H18" s="112">
        <f>H3+H15+H16</f>
        <v>3700008.7199999997</v>
      </c>
      <c r="I18" s="111">
        <v>1</v>
      </c>
    </row>
    <row r="19" spans="1:9" ht="19.5" customHeight="1" x14ac:dyDescent="0.25">
      <c r="A19" s="110"/>
      <c r="B19" s="109"/>
      <c r="H19" s="108"/>
    </row>
    <row r="20" spans="1:9" ht="30" customHeight="1" x14ac:dyDescent="0.25">
      <c r="A20" s="169" t="s">
        <v>133</v>
      </c>
      <c r="B20" s="169"/>
      <c r="C20" s="169"/>
      <c r="D20" s="169"/>
      <c r="E20" s="169"/>
      <c r="F20" s="169"/>
      <c r="G20" s="169"/>
      <c r="H20" s="169"/>
    </row>
    <row r="21" spans="1:9" ht="2.25" customHeight="1" x14ac:dyDescent="0.25">
      <c r="A21" s="169"/>
      <c r="B21" s="169"/>
      <c r="C21" s="169"/>
      <c r="D21" s="169"/>
      <c r="E21" s="169"/>
      <c r="F21" s="169"/>
      <c r="G21" s="169"/>
      <c r="H21" s="169"/>
    </row>
    <row r="22" spans="1:9" ht="16.5" customHeight="1" x14ac:dyDescent="0.25">
      <c r="A22" s="169"/>
      <c r="B22" s="169"/>
      <c r="C22" s="169"/>
      <c r="D22" s="169"/>
      <c r="E22" s="169"/>
      <c r="F22" s="169"/>
      <c r="G22" s="169"/>
      <c r="H22" s="169"/>
    </row>
    <row r="23" spans="1:9" ht="36.75" hidden="1" customHeight="1" x14ac:dyDescent="0.25">
      <c r="A23" s="169"/>
      <c r="B23" s="169"/>
      <c r="C23" s="169"/>
      <c r="D23" s="169"/>
      <c r="E23" s="169"/>
      <c r="F23" s="169"/>
      <c r="G23" s="169"/>
      <c r="H23" s="169"/>
    </row>
    <row r="24" spans="1:9" ht="22.5" customHeight="1" x14ac:dyDescent="0.25">
      <c r="A24" s="169"/>
      <c r="B24" s="169"/>
      <c r="C24" s="169"/>
      <c r="D24" s="169"/>
      <c r="E24" s="169"/>
      <c r="F24" s="169"/>
      <c r="G24" s="169"/>
      <c r="H24" s="169"/>
    </row>
    <row r="25" spans="1:9" ht="36.75" hidden="1" customHeight="1" thickBot="1" x14ac:dyDescent="0.3">
      <c r="A25" s="169"/>
      <c r="B25" s="169"/>
      <c r="C25" s="169"/>
      <c r="D25" s="169"/>
      <c r="E25" s="169"/>
      <c r="F25" s="169"/>
      <c r="G25" s="169"/>
      <c r="H25" s="169"/>
    </row>
    <row r="26" spans="1:9" ht="36.75" customHeight="1" x14ac:dyDescent="0.25">
      <c r="A26" s="169"/>
      <c r="B26" s="169"/>
      <c r="C26" s="169"/>
      <c r="D26" s="169"/>
      <c r="E26" s="169"/>
      <c r="F26" s="169"/>
      <c r="G26" s="169"/>
      <c r="H26" s="169"/>
    </row>
    <row r="27" spans="1:9" ht="36.75" customHeight="1" x14ac:dyDescent="0.25">
      <c r="A27" s="169"/>
      <c r="B27" s="169"/>
      <c r="C27" s="169"/>
      <c r="D27" s="169"/>
      <c r="E27" s="169"/>
      <c r="F27" s="169"/>
      <c r="G27" s="169"/>
      <c r="H27" s="169"/>
    </row>
    <row r="28" spans="1:9" ht="36.75" customHeight="1" x14ac:dyDescent="0.25">
      <c r="A28" s="169"/>
      <c r="B28" s="169"/>
      <c r="C28" s="169"/>
      <c r="D28" s="169"/>
      <c r="E28" s="169"/>
      <c r="F28" s="169"/>
      <c r="G28" s="169"/>
      <c r="H28" s="169"/>
    </row>
    <row r="29" spans="1:9" ht="36.75" customHeight="1" x14ac:dyDescent="0.25">
      <c r="A29" s="169"/>
      <c r="B29" s="169"/>
      <c r="C29" s="169"/>
      <c r="D29" s="169"/>
      <c r="E29" s="169"/>
      <c r="F29" s="169"/>
      <c r="G29" s="169"/>
      <c r="H29" s="169"/>
    </row>
    <row r="30" spans="1:9" ht="36.75" customHeight="1" x14ac:dyDescent="0.25">
      <c r="A30" s="166" t="s">
        <v>132</v>
      </c>
      <c r="B30" s="167"/>
      <c r="C30" s="167"/>
      <c r="D30" s="167"/>
      <c r="E30" s="167"/>
    </row>
  </sheetData>
  <mergeCells count="3">
    <mergeCell ref="A30:E30"/>
    <mergeCell ref="A1:H1"/>
    <mergeCell ref="A20:H29"/>
  </mergeCells>
  <pageMargins left="0.82677165354330717" right="0.19685039370078741" top="0.15748031496062992" bottom="0.23622047244094491" header="0.15748031496062992" footer="0.23622047244094491"/>
  <pageSetup paperSize="9" scale="84" orientation="landscape" verticalDpi="180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0" zoomScaleNormal="100" workbookViewId="0">
      <selection activeCell="A11" sqref="A11:G11"/>
    </sheetView>
  </sheetViews>
  <sheetFormatPr defaultRowHeight="12.75" x14ac:dyDescent="0.2"/>
  <cols>
    <col min="1" max="1" width="26.85546875" style="80" customWidth="1"/>
    <col min="2" max="2" width="9" style="80" customWidth="1"/>
    <col min="3" max="3" width="12" style="80" customWidth="1"/>
    <col min="4" max="4" width="13.7109375" style="80" customWidth="1"/>
    <col min="5" max="5" width="12.85546875" style="80" customWidth="1"/>
    <col min="6" max="6" width="11.7109375" style="80" customWidth="1"/>
    <col min="7" max="7" width="10.5703125" style="80" customWidth="1"/>
    <col min="8" max="16384" width="9.140625" style="80"/>
  </cols>
  <sheetData>
    <row r="1" spans="1:8" ht="15.75" x14ac:dyDescent="0.25">
      <c r="A1" s="171"/>
      <c r="B1" s="171"/>
      <c r="C1" s="171"/>
      <c r="D1" s="171"/>
      <c r="E1" s="171"/>
      <c r="F1" s="171"/>
      <c r="G1" s="171"/>
    </row>
    <row r="2" spans="1:8" ht="50.25" customHeight="1" x14ac:dyDescent="0.2">
      <c r="A2" s="172" t="s">
        <v>131</v>
      </c>
      <c r="B2" s="172"/>
      <c r="C2" s="172"/>
      <c r="D2" s="172" t="s">
        <v>130</v>
      </c>
      <c r="E2" s="172"/>
      <c r="F2" s="172"/>
      <c r="G2" s="172"/>
      <c r="H2" s="172"/>
    </row>
    <row r="3" spans="1:8" ht="15.75" x14ac:dyDescent="0.25">
      <c r="A3" s="82" t="s">
        <v>129</v>
      </c>
      <c r="B3" s="82"/>
      <c r="C3" s="82"/>
      <c r="D3" s="82" t="s">
        <v>128</v>
      </c>
      <c r="E3" s="82"/>
      <c r="F3" s="82"/>
      <c r="G3" s="82"/>
    </row>
    <row r="4" spans="1:8" ht="15.75" x14ac:dyDescent="0.25">
      <c r="A4" s="175" t="s">
        <v>127</v>
      </c>
      <c r="B4" s="175"/>
      <c r="C4" s="82"/>
      <c r="D4" s="173">
        <v>2016</v>
      </c>
      <c r="E4" s="174"/>
      <c r="F4" s="174"/>
      <c r="G4" s="174"/>
    </row>
    <row r="5" spans="1:8" ht="15.75" x14ac:dyDescent="0.25">
      <c r="A5" s="88"/>
      <c r="B5" s="88"/>
      <c r="C5" s="88"/>
      <c r="D5" s="88"/>
      <c r="E5" s="88"/>
      <c r="F5" s="88"/>
      <c r="G5" s="88"/>
    </row>
    <row r="10" spans="1:8" x14ac:dyDescent="0.2">
      <c r="F10" s="106" t="s">
        <v>126</v>
      </c>
    </row>
    <row r="11" spans="1:8" ht="83.25" customHeight="1" thickBot="1" x14ac:dyDescent="0.25">
      <c r="A11" s="170" t="s">
        <v>125</v>
      </c>
      <c r="B11" s="170"/>
      <c r="C11" s="170"/>
      <c r="D11" s="170"/>
      <c r="E11" s="170"/>
      <c r="F11" s="170"/>
      <c r="G11" s="170"/>
    </row>
    <row r="12" spans="1:8" ht="47.25" customHeight="1" thickBot="1" x14ac:dyDescent="0.25">
      <c r="A12" s="105" t="s">
        <v>124</v>
      </c>
      <c r="B12" s="105" t="s">
        <v>123</v>
      </c>
      <c r="C12" s="105" t="s">
        <v>122</v>
      </c>
      <c r="D12" s="105" t="s">
        <v>121</v>
      </c>
      <c r="E12" s="105" t="s">
        <v>120</v>
      </c>
      <c r="F12" s="105" t="s">
        <v>119</v>
      </c>
      <c r="G12" s="105" t="s">
        <v>118</v>
      </c>
    </row>
    <row r="13" spans="1:8" s="85" customFormat="1" ht="17.25" customHeight="1" x14ac:dyDescent="0.25">
      <c r="A13" s="102" t="s">
        <v>117</v>
      </c>
      <c r="B13" s="101" t="s">
        <v>111</v>
      </c>
      <c r="C13" s="100">
        <v>170500</v>
      </c>
      <c r="D13" s="99">
        <v>1768718.67</v>
      </c>
      <c r="E13" s="99"/>
      <c r="F13" s="99"/>
      <c r="G13" s="104"/>
      <c r="H13" s="103"/>
    </row>
    <row r="14" spans="1:8" s="85" customFormat="1" ht="14.25" customHeight="1" x14ac:dyDescent="0.25">
      <c r="A14" s="96" t="s">
        <v>114</v>
      </c>
      <c r="B14" s="95" t="s">
        <v>111</v>
      </c>
      <c r="C14" s="94">
        <v>130300</v>
      </c>
      <c r="D14" s="93">
        <v>1288187.6599999999</v>
      </c>
      <c r="E14" s="92">
        <f>D14/C14</f>
        <v>9.8863212586339202</v>
      </c>
      <c r="F14" s="92">
        <v>0</v>
      </c>
      <c r="G14" s="91">
        <f>E14*1.2</f>
        <v>11.863585510360704</v>
      </c>
    </row>
    <row r="15" spans="1:8" s="85" customFormat="1" ht="15" x14ac:dyDescent="0.25">
      <c r="A15" s="96" t="s">
        <v>113</v>
      </c>
      <c r="B15" s="95" t="s">
        <v>111</v>
      </c>
      <c r="C15" s="94">
        <v>28900</v>
      </c>
      <c r="D15" s="93">
        <f>475558.76/40200*28900</f>
        <v>341881.79512437811</v>
      </c>
      <c r="E15" s="92">
        <f>D15/C15</f>
        <v>11.829819900497512</v>
      </c>
      <c r="F15" s="92">
        <v>0</v>
      </c>
      <c r="G15" s="91">
        <f>E15*1.2</f>
        <v>14.195783880597014</v>
      </c>
    </row>
    <row r="16" spans="1:8" s="85" customFormat="1" ht="17.25" customHeight="1" x14ac:dyDescent="0.25">
      <c r="A16" s="96" t="s">
        <v>112</v>
      </c>
      <c r="B16" s="95" t="s">
        <v>111</v>
      </c>
      <c r="C16" s="94">
        <v>11300</v>
      </c>
      <c r="D16" s="93">
        <f>475558.76-D15</f>
        <v>133676.9648756219</v>
      </c>
      <c r="E16" s="92">
        <f>D16/C16</f>
        <v>11.829819900497514</v>
      </c>
      <c r="F16" s="92">
        <v>0</v>
      </c>
      <c r="G16" s="91">
        <f>E16*1.2</f>
        <v>14.195783880597016</v>
      </c>
    </row>
    <row r="17" spans="1:8" s="85" customFormat="1" ht="16.5" customHeight="1" x14ac:dyDescent="0.25">
      <c r="A17" s="102" t="s">
        <v>116</v>
      </c>
      <c r="B17" s="101" t="s">
        <v>111</v>
      </c>
      <c r="C17" s="100">
        <v>220500</v>
      </c>
      <c r="D17" s="99">
        <v>1826021.29</v>
      </c>
      <c r="E17" s="98"/>
      <c r="F17" s="98"/>
      <c r="G17" s="98"/>
    </row>
    <row r="18" spans="1:8" s="85" customFormat="1" ht="13.5" customHeight="1" x14ac:dyDescent="0.25">
      <c r="A18" s="96" t="s">
        <v>114</v>
      </c>
      <c r="B18" s="95" t="s">
        <v>111</v>
      </c>
      <c r="C18" s="94">
        <v>93900</v>
      </c>
      <c r="D18" s="93">
        <v>511665.94</v>
      </c>
      <c r="E18" s="92">
        <f>D18/C18</f>
        <v>5.4490515441959531</v>
      </c>
      <c r="F18" s="92">
        <v>0</v>
      </c>
      <c r="G18" s="91">
        <f>E18*1.2</f>
        <v>6.5388618530351437</v>
      </c>
    </row>
    <row r="19" spans="1:8" s="85" customFormat="1" ht="13.5" customHeight="1" x14ac:dyDescent="0.25">
      <c r="A19" s="96" t="s">
        <v>113</v>
      </c>
      <c r="B19" s="95" t="s">
        <v>111</v>
      </c>
      <c r="C19" s="94">
        <v>27900</v>
      </c>
      <c r="D19" s="93">
        <f>1419624.11/126600*27900</f>
        <v>312855.55030805687</v>
      </c>
      <c r="E19" s="92">
        <f>D19/C19</f>
        <v>11.213460584518167</v>
      </c>
      <c r="F19" s="92">
        <v>0</v>
      </c>
      <c r="G19" s="91">
        <f>E19*1.2</f>
        <v>13.4561527014218</v>
      </c>
    </row>
    <row r="20" spans="1:8" s="85" customFormat="1" ht="10.5" customHeight="1" x14ac:dyDescent="0.25">
      <c r="A20" s="96" t="s">
        <v>112</v>
      </c>
      <c r="B20" s="95" t="s">
        <v>111</v>
      </c>
      <c r="C20" s="94">
        <v>98700</v>
      </c>
      <c r="D20" s="93">
        <f>1419624.11-D19</f>
        <v>1106768.5596919432</v>
      </c>
      <c r="E20" s="92">
        <f>D20/C20</f>
        <v>11.213460584518169</v>
      </c>
      <c r="F20" s="92">
        <v>0</v>
      </c>
      <c r="G20" s="91">
        <f>E20*1.2</f>
        <v>13.456152701421802</v>
      </c>
    </row>
    <row r="21" spans="1:8" s="85" customFormat="1" ht="36" customHeight="1" x14ac:dyDescent="0.25">
      <c r="A21" s="97" t="s">
        <v>115</v>
      </c>
      <c r="B21" s="95" t="s">
        <v>111</v>
      </c>
      <c r="C21" s="94"/>
      <c r="D21" s="93"/>
      <c r="E21" s="92"/>
      <c r="F21" s="92"/>
      <c r="G21" s="91"/>
    </row>
    <row r="22" spans="1:8" s="85" customFormat="1" ht="13.5" customHeight="1" x14ac:dyDescent="0.25">
      <c r="A22" s="96" t="s">
        <v>114</v>
      </c>
      <c r="B22" s="95" t="s">
        <v>111</v>
      </c>
      <c r="C22" s="94"/>
      <c r="D22" s="93"/>
      <c r="E22" s="92">
        <v>13.83</v>
      </c>
      <c r="F22" s="92">
        <v>0</v>
      </c>
      <c r="G22" s="91">
        <f>G14+G18</f>
        <v>18.402447363395847</v>
      </c>
    </row>
    <row r="23" spans="1:8" s="85" customFormat="1" ht="13.5" customHeight="1" x14ac:dyDescent="0.25">
      <c r="A23" s="96" t="s">
        <v>113</v>
      </c>
      <c r="B23" s="95" t="s">
        <v>111</v>
      </c>
      <c r="C23" s="94"/>
      <c r="D23" s="93"/>
      <c r="E23" s="92">
        <v>17.149999999999999</v>
      </c>
      <c r="F23" s="92">
        <v>0</v>
      </c>
      <c r="G23" s="91">
        <f>G15+G19</f>
        <v>27.651936582018813</v>
      </c>
    </row>
    <row r="24" spans="1:8" s="85" customFormat="1" ht="13.5" customHeight="1" x14ac:dyDescent="0.25">
      <c r="A24" s="96" t="s">
        <v>112</v>
      </c>
      <c r="B24" s="95" t="s">
        <v>111</v>
      </c>
      <c r="C24" s="94"/>
      <c r="D24" s="93"/>
      <c r="E24" s="92">
        <v>17.149999999999999</v>
      </c>
      <c r="F24" s="92">
        <v>0</v>
      </c>
      <c r="G24" s="91">
        <f>G16+G20</f>
        <v>27.65193658201882</v>
      </c>
    </row>
    <row r="25" spans="1:8" x14ac:dyDescent="0.2">
      <c r="A25" s="90"/>
      <c r="B25" s="90"/>
      <c r="C25" s="90"/>
      <c r="D25" s="89"/>
      <c r="E25" s="89"/>
      <c r="F25" s="89"/>
      <c r="G25" s="89"/>
    </row>
    <row r="26" spans="1:8" x14ac:dyDescent="0.2">
      <c r="A26" s="87"/>
      <c r="B26" s="87"/>
      <c r="C26" s="87"/>
      <c r="D26" s="86"/>
      <c r="E26" s="86"/>
      <c r="F26" s="86"/>
      <c r="G26" s="86"/>
    </row>
    <row r="27" spans="1:8" ht="29.25" customHeight="1" x14ac:dyDescent="0.25">
      <c r="A27" s="88" t="s">
        <v>109</v>
      </c>
      <c r="B27" s="87"/>
      <c r="C27" s="87"/>
      <c r="D27" s="86"/>
      <c r="E27" s="86"/>
      <c r="F27" s="86"/>
      <c r="G27" s="86"/>
      <c r="H27" s="85"/>
    </row>
    <row r="28" spans="1:8" ht="15.75" x14ac:dyDescent="0.25">
      <c r="A28" s="84" t="s">
        <v>106</v>
      </c>
      <c r="B28" s="83"/>
      <c r="C28" s="83"/>
      <c r="D28" s="82"/>
      <c r="E28" s="82"/>
      <c r="F28" s="82"/>
      <c r="G28" s="82"/>
    </row>
    <row r="29" spans="1:8" ht="15" x14ac:dyDescent="0.2">
      <c r="A29" s="81"/>
    </row>
  </sheetData>
  <mergeCells count="6">
    <mergeCell ref="A11:G11"/>
    <mergeCell ref="A1:G1"/>
    <mergeCell ref="A2:C2"/>
    <mergeCell ref="D4:G4"/>
    <mergeCell ref="A4:B4"/>
    <mergeCell ref="D2:H2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view="pageBreakPreview" topLeftCell="A100" zoomScale="115" zoomScaleSheetLayoutView="115" workbookViewId="0">
      <selection activeCell="A3" sqref="A3:J111"/>
    </sheetView>
  </sheetViews>
  <sheetFormatPr defaultRowHeight="15" x14ac:dyDescent="0.25"/>
  <cols>
    <col min="1" max="1" width="34.85546875" customWidth="1"/>
    <col min="2" max="2" width="13" customWidth="1"/>
    <col min="3" max="3" width="13.28515625" style="73" customWidth="1"/>
    <col min="4" max="4" width="9.85546875" customWidth="1"/>
    <col min="5" max="5" width="17.140625" customWidth="1"/>
    <col min="6" max="6" width="8.85546875" customWidth="1"/>
    <col min="7" max="7" width="7.42578125" customWidth="1"/>
    <col min="8" max="8" width="12.5703125" customWidth="1"/>
    <col min="9" max="9" width="8.140625" customWidth="1"/>
    <col min="10" max="10" width="8.28515625" customWidth="1"/>
    <col min="11" max="12" width="10.28515625" customWidth="1"/>
    <col min="13" max="13" width="11.7109375" bestFit="1" customWidth="1"/>
  </cols>
  <sheetData>
    <row r="1" spans="1:16" ht="6.75" customHeight="1" x14ac:dyDescent="0.25">
      <c r="A1" s="1"/>
      <c r="B1" s="181"/>
      <c r="C1" s="181"/>
      <c r="D1" s="70"/>
      <c r="E1" s="70"/>
      <c r="F1" s="70"/>
      <c r="G1" s="70"/>
      <c r="H1" s="70"/>
      <c r="I1" s="70"/>
      <c r="J1" s="70"/>
      <c r="K1" s="70"/>
      <c r="L1" s="70"/>
    </row>
    <row r="2" spans="1:16" ht="4.5" hidden="1" customHeight="1" x14ac:dyDescent="0.25">
      <c r="A2" s="2"/>
      <c r="B2" s="181"/>
      <c r="C2" s="181"/>
      <c r="D2" s="70"/>
      <c r="E2" s="70"/>
      <c r="F2" s="70"/>
      <c r="G2" s="70"/>
      <c r="H2" s="70"/>
      <c r="I2" s="70"/>
      <c r="J2" s="70"/>
      <c r="K2" s="70"/>
      <c r="L2" s="70"/>
    </row>
    <row r="3" spans="1:16" ht="18.75" x14ac:dyDescent="0.25">
      <c r="A3" s="182" t="s">
        <v>107</v>
      </c>
      <c r="B3" s="182"/>
      <c r="C3" s="182"/>
      <c r="D3" s="182"/>
      <c r="E3" s="182"/>
      <c r="F3" s="182"/>
      <c r="G3" s="182"/>
      <c r="H3" s="182"/>
      <c r="I3" s="182"/>
      <c r="J3" s="182"/>
      <c r="K3" s="71"/>
      <c r="L3" s="71"/>
    </row>
    <row r="4" spans="1:16" ht="21.75" customHeight="1" x14ac:dyDescent="0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72"/>
      <c r="L4" s="72"/>
    </row>
    <row r="5" spans="1:16" ht="26.45" customHeight="1" x14ac:dyDescent="0.25">
      <c r="A5" s="184" t="s">
        <v>0</v>
      </c>
      <c r="B5" s="184" t="s">
        <v>1</v>
      </c>
      <c r="C5" s="184"/>
      <c r="D5" s="184" t="s">
        <v>86</v>
      </c>
      <c r="E5" s="184" t="s">
        <v>94</v>
      </c>
      <c r="F5" s="184"/>
      <c r="G5" s="184" t="s">
        <v>86</v>
      </c>
      <c r="H5" s="184" t="s">
        <v>95</v>
      </c>
      <c r="I5" s="184"/>
      <c r="J5" s="184" t="s">
        <v>86</v>
      </c>
      <c r="K5" s="6"/>
      <c r="L5" s="6"/>
    </row>
    <row r="6" spans="1:16" ht="36" x14ac:dyDescent="0.25">
      <c r="A6" s="184"/>
      <c r="B6" s="74" t="s">
        <v>79</v>
      </c>
      <c r="C6" s="61" t="s">
        <v>2</v>
      </c>
      <c r="D6" s="184"/>
      <c r="E6" s="74" t="s">
        <v>79</v>
      </c>
      <c r="F6" s="61" t="s">
        <v>2</v>
      </c>
      <c r="G6" s="184"/>
      <c r="H6" s="74" t="s">
        <v>79</v>
      </c>
      <c r="I6" s="61" t="s">
        <v>2</v>
      </c>
      <c r="J6" s="184"/>
      <c r="K6" s="6"/>
      <c r="L6" s="6"/>
      <c r="P6" s="4"/>
    </row>
    <row r="7" spans="1:16" x14ac:dyDescent="0.25">
      <c r="A7" s="11" t="s">
        <v>81</v>
      </c>
      <c r="B7" s="12">
        <f>B8+B22</f>
        <v>1567891.93</v>
      </c>
      <c r="C7" s="62">
        <f>B7/B105</f>
        <v>7.1106209977324264</v>
      </c>
      <c r="D7" s="13"/>
      <c r="E7" s="12">
        <f>E8+E22</f>
        <v>356912.72968707484</v>
      </c>
      <c r="F7" s="62">
        <f>E7/E105</f>
        <v>3.8009875366035657</v>
      </c>
      <c r="G7" s="13"/>
      <c r="H7" s="12">
        <f>H8+H22</f>
        <v>1210979.2003129253</v>
      </c>
      <c r="I7" s="62">
        <f>H7/H105</f>
        <v>9.5653965269583363</v>
      </c>
      <c r="J7" s="13"/>
      <c r="K7" s="7"/>
      <c r="L7" s="7"/>
      <c r="M7" s="5">
        <f>B7</f>
        <v>1567891.93</v>
      </c>
    </row>
    <row r="8" spans="1:16" x14ac:dyDescent="0.25">
      <c r="A8" s="11" t="s">
        <v>80</v>
      </c>
      <c r="B8" s="15">
        <f>B9+B14+B18</f>
        <v>1257858.32</v>
      </c>
      <c r="C8" s="62">
        <f>B8/B105</f>
        <v>5.7045728798185946</v>
      </c>
      <c r="D8" s="13"/>
      <c r="E8" s="15">
        <f>E9+E14+E18</f>
        <v>266578.127414966</v>
      </c>
      <c r="F8" s="62">
        <f>E8/E105</f>
        <v>2.8389576934501171</v>
      </c>
      <c r="G8" s="13"/>
      <c r="H8" s="15">
        <f>H9+H14+H18</f>
        <v>991280.19258503406</v>
      </c>
      <c r="I8" s="62">
        <f>H8/H105</f>
        <v>7.8300173189971094</v>
      </c>
      <c r="J8" s="13"/>
      <c r="K8" s="7"/>
      <c r="L8" s="7"/>
      <c r="M8" s="5">
        <f>M7-B8-B22</f>
        <v>0</v>
      </c>
    </row>
    <row r="9" spans="1:16" ht="24" x14ac:dyDescent="0.25">
      <c r="A9" s="16" t="s">
        <v>3</v>
      </c>
      <c r="B9" s="22">
        <f>B10+B12+B13</f>
        <v>167096.01999999999</v>
      </c>
      <c r="C9" s="62">
        <f>B9/B105</f>
        <v>0.75780507936507935</v>
      </c>
      <c r="D9" s="13">
        <f>C9/C101*100</f>
        <v>8.6520416754593654</v>
      </c>
      <c r="E9" s="22">
        <f>E10+E12+E13</f>
        <v>21029.090952380957</v>
      </c>
      <c r="F9" s="62">
        <f>E9/E105</f>
        <v>0.22395198032354588</v>
      </c>
      <c r="G9" s="13">
        <f>F9/F101*100</f>
        <v>4.1099258710995272</v>
      </c>
      <c r="H9" s="22">
        <f>H10+H12+H13</f>
        <v>146066.92904761905</v>
      </c>
      <c r="I9" s="62">
        <f>H9/H105</f>
        <v>1.1537672120665012</v>
      </c>
      <c r="J9" s="13">
        <f>I9/I101*100</f>
        <v>10.289127121460027</v>
      </c>
      <c r="K9" s="7"/>
      <c r="L9" s="7"/>
      <c r="M9" s="5">
        <f>B53</f>
        <v>250347.4</v>
      </c>
    </row>
    <row r="10" spans="1:16" ht="24" x14ac:dyDescent="0.25">
      <c r="A10" s="18" t="s">
        <v>4</v>
      </c>
      <c r="B10" s="24">
        <v>138447.22</v>
      </c>
      <c r="C10" s="63">
        <f>B10/B105</f>
        <v>0.62787854875283444</v>
      </c>
      <c r="D10" s="20">
        <f>C10/C101*100</f>
        <v>7.1686394283448003</v>
      </c>
      <c r="E10" s="24">
        <f>B10/B105*E105-(B10*0.3)</f>
        <v>17423.629727891159</v>
      </c>
      <c r="F10" s="63">
        <f>E10/E105</f>
        <v>0.18555516217136483</v>
      </c>
      <c r="G10" s="20">
        <f>F10/F101*100</f>
        <v>3.4052744718863313</v>
      </c>
      <c r="H10" s="24">
        <f>B10-E10</f>
        <v>121023.59027210885</v>
      </c>
      <c r="I10" s="63">
        <f>H10/H105</f>
        <v>0.9559525297954885</v>
      </c>
      <c r="J10" s="20">
        <f>I10/I101*100</f>
        <v>8.5250447389036736</v>
      </c>
      <c r="K10" s="7"/>
      <c r="L10" s="7"/>
      <c r="M10">
        <f>B77</f>
        <v>113050.72</v>
      </c>
    </row>
    <row r="11" spans="1:16" ht="36" x14ac:dyDescent="0.25">
      <c r="A11" s="18" t="s">
        <v>5</v>
      </c>
      <c r="B11" s="24">
        <v>0</v>
      </c>
      <c r="C11" s="63">
        <f>B11/667000</f>
        <v>0</v>
      </c>
      <c r="D11" s="20">
        <v>0</v>
      </c>
      <c r="E11" s="24">
        <v>0</v>
      </c>
      <c r="F11" s="63">
        <f>E11/667000</f>
        <v>0</v>
      </c>
      <c r="G11" s="20">
        <v>0</v>
      </c>
      <c r="H11" s="24">
        <v>0</v>
      </c>
      <c r="I11" s="63">
        <f>H11/667000</f>
        <v>0</v>
      </c>
      <c r="J11" s="20">
        <v>0</v>
      </c>
      <c r="K11" s="7"/>
      <c r="L11" s="7"/>
      <c r="M11" s="5">
        <f>M7+M9+M10</f>
        <v>1931290.0499999998</v>
      </c>
    </row>
    <row r="12" spans="1:16" ht="30.75" customHeight="1" x14ac:dyDescent="0.25">
      <c r="A12" s="18" t="s">
        <v>6</v>
      </c>
      <c r="B12" s="24">
        <v>0</v>
      </c>
      <c r="C12" s="63">
        <f>B12/667000</f>
        <v>0</v>
      </c>
      <c r="D12" s="20">
        <v>0</v>
      </c>
      <c r="E12" s="24"/>
      <c r="F12" s="63">
        <f>E12/667000</f>
        <v>0</v>
      </c>
      <c r="G12" s="20">
        <v>0</v>
      </c>
      <c r="H12" s="24"/>
      <c r="I12" s="63">
        <f>H12/667000</f>
        <v>0</v>
      </c>
      <c r="J12" s="20">
        <v>0</v>
      </c>
      <c r="K12" s="7"/>
      <c r="L12" s="7"/>
    </row>
    <row r="13" spans="1:16" ht="33" customHeight="1" x14ac:dyDescent="0.25">
      <c r="A13" s="18" t="s">
        <v>87</v>
      </c>
      <c r="B13" s="24">
        <v>28648.799999999999</v>
      </c>
      <c r="C13" s="63">
        <f>B13/B105</f>
        <v>0.12992653061224491</v>
      </c>
      <c r="D13" s="20">
        <f>C13/C101*100</f>
        <v>1.4834022471145649</v>
      </c>
      <c r="E13" s="24">
        <f>B13/B105*E105-(B13*0.3)</f>
        <v>3605.461224489798</v>
      </c>
      <c r="F13" s="63">
        <f>E13/E105</f>
        <v>3.8396818152181024E-2</v>
      </c>
      <c r="G13" s="20">
        <f>F13/F101*100</f>
        <v>0.70465139921319597</v>
      </c>
      <c r="H13" s="24">
        <f>B13-E13</f>
        <v>25043.338775510201</v>
      </c>
      <c r="I13" s="63">
        <f>H13/H105</f>
        <v>0.19781468227101265</v>
      </c>
      <c r="J13" s="20">
        <f>I13/I101*100</f>
        <v>1.7640823825563527</v>
      </c>
      <c r="K13" s="7"/>
      <c r="L13" s="7"/>
    </row>
    <row r="14" spans="1:16" ht="24" x14ac:dyDescent="0.25">
      <c r="A14" s="16" t="s">
        <v>7</v>
      </c>
      <c r="B14" s="22">
        <v>872634</v>
      </c>
      <c r="C14" s="62">
        <f>B14/B105</f>
        <v>3.9575238095238094</v>
      </c>
      <c r="D14" s="13">
        <f>C14/C101*100</f>
        <v>45.183995019287757</v>
      </c>
      <c r="E14" s="22">
        <f>E15+E16+E17</f>
        <v>197084.68571428573</v>
      </c>
      <c r="F14" s="62">
        <f>E14/E105</f>
        <v>2.0988784421116691</v>
      </c>
      <c r="G14" s="13">
        <f>F14/F101*100</f>
        <v>38.518234119052686</v>
      </c>
      <c r="H14" s="22">
        <f>H15+H16+H17</f>
        <v>675549.3142857143</v>
      </c>
      <c r="I14" s="62">
        <f>H14/H105</f>
        <v>5.3360925299029569</v>
      </c>
      <c r="J14" s="13">
        <f>I14/I101*100</f>
        <v>47.586492143165707</v>
      </c>
      <c r="K14" s="7"/>
      <c r="L14" s="7"/>
    </row>
    <row r="15" spans="1:16" ht="24" x14ac:dyDescent="0.25">
      <c r="A15" s="18" t="s">
        <v>8</v>
      </c>
      <c r="B15" s="24">
        <f>B14-B16</f>
        <v>732906</v>
      </c>
      <c r="C15" s="63">
        <f>B15/B105</f>
        <v>3.3238367346938777</v>
      </c>
      <c r="D15" s="20">
        <f>C15/C101*100</f>
        <v>37.949038260721125</v>
      </c>
      <c r="E15" s="24">
        <f>B15/B105*E105-(B15*0.2)</f>
        <v>165527.06938775512</v>
      </c>
      <c r="F15" s="63">
        <f>E15/E105</f>
        <v>1.7628015909239096</v>
      </c>
      <c r="G15" s="20">
        <f>F15/F101*100</f>
        <v>32.35061308092331</v>
      </c>
      <c r="H15" s="24">
        <f>B15-E15</f>
        <v>567378.93061224488</v>
      </c>
      <c r="I15" s="63">
        <f>H15/H105</f>
        <v>4.481666118580133</v>
      </c>
      <c r="J15" s="20">
        <f>I15/I101*100</f>
        <v>39.966842468525179</v>
      </c>
      <c r="K15" s="7"/>
      <c r="L15" s="7"/>
    </row>
    <row r="16" spans="1:16" ht="24" x14ac:dyDescent="0.25">
      <c r="A16" s="18" t="s">
        <v>9</v>
      </c>
      <c r="B16" s="24">
        <v>139728</v>
      </c>
      <c r="C16" s="63">
        <f>B16/667000</f>
        <v>0.20948725637181409</v>
      </c>
      <c r="D16" s="20">
        <v>0</v>
      </c>
      <c r="E16" s="24">
        <f>B16/B105*E105-(B16*0.2)</f>
        <v>31557.616326530606</v>
      </c>
      <c r="F16" s="63">
        <f>E16/667000</f>
        <v>4.7312768105743037E-2</v>
      </c>
      <c r="G16" s="20">
        <v>0</v>
      </c>
      <c r="H16" s="24">
        <f>B16-E16</f>
        <v>108170.38367346939</v>
      </c>
      <c r="I16" s="63">
        <f>H16/667000</f>
        <v>0.16217448826607106</v>
      </c>
      <c r="J16" s="20">
        <v>0</v>
      </c>
      <c r="K16" s="7"/>
      <c r="L16" s="7"/>
    </row>
    <row r="17" spans="1:12" ht="24" x14ac:dyDescent="0.25">
      <c r="A17" s="18" t="s">
        <v>10</v>
      </c>
      <c r="B17" s="24">
        <v>0</v>
      </c>
      <c r="C17" s="63">
        <f t="shared" ref="C17:C80" si="0">B17/667000</f>
        <v>0</v>
      </c>
      <c r="D17" s="20">
        <v>0</v>
      </c>
      <c r="E17" s="24">
        <v>0</v>
      </c>
      <c r="F17" s="63">
        <f t="shared" ref="F17" si="1">E17/667000</f>
        <v>0</v>
      </c>
      <c r="G17" s="20">
        <v>0</v>
      </c>
      <c r="H17" s="24">
        <v>0</v>
      </c>
      <c r="I17" s="63">
        <f t="shared" ref="I17" si="2">H17/667000</f>
        <v>0</v>
      </c>
      <c r="J17" s="20">
        <v>0</v>
      </c>
      <c r="K17" s="7"/>
      <c r="L17" s="7"/>
    </row>
    <row r="18" spans="1:12" ht="23.25" customHeight="1" x14ac:dyDescent="0.25">
      <c r="A18" s="16" t="s">
        <v>11</v>
      </c>
      <c r="B18" s="22">
        <f>B19+B20+B21</f>
        <v>218128.30000000002</v>
      </c>
      <c r="C18" s="62">
        <f>B18/B105</f>
        <v>0.98924399092970527</v>
      </c>
      <c r="D18" s="13">
        <f>C18/C101*100</f>
        <v>11.294435033204881</v>
      </c>
      <c r="E18" s="22">
        <f>E19+E20+E21</f>
        <v>48464.350748299315</v>
      </c>
      <c r="F18" s="62">
        <f>E18/E105</f>
        <v>0.51612727101490219</v>
      </c>
      <c r="G18" s="13">
        <f>F18/F101*100</f>
        <v>9.4718734831438329</v>
      </c>
      <c r="H18" s="22">
        <f>H19+H20+H21</f>
        <v>169663.94925170069</v>
      </c>
      <c r="I18" s="62">
        <f>H18/H105</f>
        <v>1.3401575770276515</v>
      </c>
      <c r="J18" s="13">
        <f>I18/I101*100</f>
        <v>11.951329114412887</v>
      </c>
      <c r="K18" s="7"/>
      <c r="L18" s="7"/>
    </row>
    <row r="19" spans="1:12" ht="36" x14ac:dyDescent="0.25">
      <c r="A19" s="18" t="s">
        <v>12</v>
      </c>
      <c r="B19" s="24">
        <v>191979.48</v>
      </c>
      <c r="C19" s="63">
        <f>B19/B105</f>
        <v>0.87065523809523815</v>
      </c>
      <c r="D19" s="20">
        <f>C19/C101*100</f>
        <v>9.9404789042433084</v>
      </c>
      <c r="E19" s="24">
        <f>B19/B105*E105-(B19*0.2)</f>
        <v>43358.63085714286</v>
      </c>
      <c r="F19" s="63">
        <f>E19/E105</f>
        <v>0.46175325726456717</v>
      </c>
      <c r="G19" s="20">
        <f>F19/F101*100</f>
        <v>8.4740115061915908</v>
      </c>
      <c r="H19" s="24">
        <f>B19-E19</f>
        <v>148620.84914285716</v>
      </c>
      <c r="I19" s="63">
        <f>H19/H105</f>
        <v>1.1739403565786506</v>
      </c>
      <c r="J19" s="20">
        <f>I19/I101*100</f>
        <v>10.469028271496457</v>
      </c>
      <c r="K19" s="7"/>
      <c r="L19" s="7"/>
    </row>
    <row r="20" spans="1:12" ht="36" x14ac:dyDescent="0.25">
      <c r="A20" s="18" t="s">
        <v>13</v>
      </c>
      <c r="B20" s="24">
        <v>18148.82</v>
      </c>
      <c r="C20" s="63">
        <f>B20/B105</f>
        <v>8.2307573696145123E-2</v>
      </c>
      <c r="D20" s="20">
        <f>C20/C101*100</f>
        <v>0.93972523702485822</v>
      </c>
      <c r="E20" s="24">
        <f>B20/B105*E105-(B20*0.2)</f>
        <v>4098.9171700680272</v>
      </c>
      <c r="F20" s="63">
        <f>E20/E105</f>
        <v>4.365194004332297E-2</v>
      </c>
      <c r="G20" s="20">
        <f>F20/F101*100</f>
        <v>0.80109243708650546</v>
      </c>
      <c r="H20" s="24">
        <f>B20-E20</f>
        <v>14049.902829931973</v>
      </c>
      <c r="I20" s="63">
        <f>H20/H105</f>
        <v>0.11097869533911511</v>
      </c>
      <c r="J20" s="20">
        <f>I20/I101*100</f>
        <v>0.98969176119395841</v>
      </c>
      <c r="K20" s="7"/>
      <c r="L20" s="7"/>
    </row>
    <row r="21" spans="1:12" ht="24" x14ac:dyDescent="0.25">
      <c r="A21" s="18" t="s">
        <v>78</v>
      </c>
      <c r="B21" s="24">
        <v>8000</v>
      </c>
      <c r="C21" s="63">
        <f t="shared" si="0"/>
        <v>1.1994002998500749E-2</v>
      </c>
      <c r="D21" s="20">
        <v>0</v>
      </c>
      <c r="E21" s="24">
        <f>B21/B105*E105-(B21*0.3)</f>
        <v>1006.8027210884356</v>
      </c>
      <c r="F21" s="63">
        <f t="shared" ref="F21" si="3">E21/667000</f>
        <v>1.5094493569541765E-3</v>
      </c>
      <c r="G21" s="20">
        <v>0</v>
      </c>
      <c r="H21" s="24">
        <f>B21-E21</f>
        <v>6993.1972789115644</v>
      </c>
      <c r="I21" s="63">
        <f t="shared" ref="I21" si="4">H21/667000</f>
        <v>1.0484553641546573E-2</v>
      </c>
      <c r="J21" s="20">
        <v>0</v>
      </c>
      <c r="K21" s="7"/>
      <c r="L21" s="7"/>
    </row>
    <row r="22" spans="1:12" ht="24" x14ac:dyDescent="0.25">
      <c r="A22" s="16" t="s">
        <v>88</v>
      </c>
      <c r="B22" s="48">
        <f>B23+B29+B30+B43+B49+B48+B52+B36+B35</f>
        <v>310033.60999999993</v>
      </c>
      <c r="C22" s="62">
        <f>B22/B105</f>
        <v>1.4060481179138318</v>
      </c>
      <c r="D22" s="13">
        <f>C22/C101*100</f>
        <v>16.053187350082396</v>
      </c>
      <c r="E22" s="48">
        <f>E23+E29+E30+E43+E49+E48+E52+E35+E36</f>
        <v>90334.602272108852</v>
      </c>
      <c r="F22" s="62">
        <f>E22/E105</f>
        <v>0.96202984315344886</v>
      </c>
      <c r="G22" s="13">
        <f>F22/F101*100</f>
        <v>17.65499610869249</v>
      </c>
      <c r="H22" s="48">
        <f>H23+H29+H30+H43+H49+H48+H52+H35+H36</f>
        <v>219699.00772789115</v>
      </c>
      <c r="I22" s="62">
        <f>H22/H105</f>
        <v>1.7353792079612256</v>
      </c>
      <c r="J22" s="13">
        <f>I22/I101*100</f>
        <v>15.475857770884986</v>
      </c>
      <c r="K22" s="7">
        <f>B22/B105*E105</f>
        <v>132027.9182721088</v>
      </c>
      <c r="L22" s="7">
        <f>E22-K22</f>
        <v>-41693.315999999948</v>
      </c>
    </row>
    <row r="23" spans="1:12" ht="33" customHeight="1" x14ac:dyDescent="0.25">
      <c r="A23" s="18" t="s">
        <v>15</v>
      </c>
      <c r="B23" s="24">
        <f>B24+B27</f>
        <v>150846.26999999999</v>
      </c>
      <c r="C23" s="63">
        <f>B23/667000</f>
        <v>0.22615632683658168</v>
      </c>
      <c r="D23" s="20">
        <v>0</v>
      </c>
      <c r="E23" s="24">
        <f>B23/B105*E105</f>
        <v>64237.935387755097</v>
      </c>
      <c r="F23" s="63">
        <f>E23/667000</f>
        <v>9.6308748707278999E-2</v>
      </c>
      <c r="G23" s="20">
        <v>0</v>
      </c>
      <c r="H23" s="24">
        <f>B23-E23</f>
        <v>86608.334612244886</v>
      </c>
      <c r="I23" s="63">
        <f>H23/667000</f>
        <v>0.12984757812930267</v>
      </c>
      <c r="J23" s="20">
        <v>0</v>
      </c>
      <c r="K23" s="7"/>
      <c r="L23" s="7"/>
    </row>
    <row r="24" spans="1:12" ht="14.25" customHeight="1" x14ac:dyDescent="0.25">
      <c r="A24" s="18" t="s">
        <v>16</v>
      </c>
      <c r="B24" s="24">
        <v>123644.48</v>
      </c>
      <c r="C24" s="63">
        <f t="shared" si="0"/>
        <v>0.18537403298350824</v>
      </c>
      <c r="D24" s="20">
        <v>0</v>
      </c>
      <c r="E24" s="24">
        <f>B24/B105*E105</f>
        <v>52654.043863945575</v>
      </c>
      <c r="F24" s="63">
        <f t="shared" ref="F24:F35" si="5">E24/667000</f>
        <v>7.8941594998419157E-2</v>
      </c>
      <c r="G24" s="20">
        <v>0</v>
      </c>
      <c r="H24" s="24">
        <f>B24-E24</f>
        <v>70990.436136054428</v>
      </c>
      <c r="I24" s="63">
        <f t="shared" ref="I24:I35" si="6">H24/667000</f>
        <v>0.1064324379850891</v>
      </c>
      <c r="J24" s="20">
        <v>0</v>
      </c>
      <c r="K24" s="7"/>
      <c r="L24" s="7"/>
    </row>
    <row r="25" spans="1:12" ht="15" customHeight="1" x14ac:dyDescent="0.25">
      <c r="A25" s="18" t="s">
        <v>17</v>
      </c>
      <c r="B25" s="24">
        <v>0</v>
      </c>
      <c r="C25" s="63">
        <f t="shared" si="0"/>
        <v>0</v>
      </c>
      <c r="D25" s="20">
        <v>0</v>
      </c>
      <c r="E25" s="24">
        <v>0</v>
      </c>
      <c r="F25" s="63">
        <f t="shared" si="5"/>
        <v>0</v>
      </c>
      <c r="G25" s="20">
        <v>0</v>
      </c>
      <c r="H25" s="24">
        <v>0</v>
      </c>
      <c r="I25" s="63">
        <f t="shared" si="6"/>
        <v>0</v>
      </c>
      <c r="J25" s="20">
        <v>0</v>
      </c>
      <c r="K25" s="7"/>
      <c r="L25" s="7"/>
    </row>
    <row r="26" spans="1:12" ht="18" customHeight="1" x14ac:dyDescent="0.25">
      <c r="A26" s="18" t="s">
        <v>18</v>
      </c>
      <c r="B26" s="24">
        <v>0</v>
      </c>
      <c r="C26" s="63">
        <f t="shared" si="0"/>
        <v>0</v>
      </c>
      <c r="D26" s="20">
        <v>0</v>
      </c>
      <c r="E26" s="24">
        <v>0</v>
      </c>
      <c r="F26" s="63">
        <f t="shared" si="5"/>
        <v>0</v>
      </c>
      <c r="G26" s="20">
        <v>0</v>
      </c>
      <c r="H26" s="24">
        <v>0</v>
      </c>
      <c r="I26" s="63">
        <f t="shared" si="6"/>
        <v>0</v>
      </c>
      <c r="J26" s="20">
        <v>0</v>
      </c>
      <c r="K26" s="7"/>
      <c r="L26" s="7"/>
    </row>
    <row r="27" spans="1:12" ht="24" x14ac:dyDescent="0.25">
      <c r="A27" s="18" t="s">
        <v>19</v>
      </c>
      <c r="B27" s="24">
        <v>27201.79</v>
      </c>
      <c r="C27" s="63">
        <f t="shared" si="0"/>
        <v>4.0782293853073463E-2</v>
      </c>
      <c r="D27" s="20">
        <v>0</v>
      </c>
      <c r="E27" s="24">
        <f>B27/B105*E105</f>
        <v>11583.891523809525</v>
      </c>
      <c r="F27" s="63">
        <f t="shared" si="5"/>
        <v>1.7367153708859856E-2</v>
      </c>
      <c r="G27" s="20">
        <v>0</v>
      </c>
      <c r="H27" s="24">
        <f>B27-E27</f>
        <v>15617.898476190476</v>
      </c>
      <c r="I27" s="63">
        <f t="shared" si="6"/>
        <v>2.3415140144213607E-2</v>
      </c>
      <c r="J27" s="20">
        <v>0</v>
      </c>
      <c r="K27" s="7"/>
      <c r="L27" s="7"/>
    </row>
    <row r="28" spans="1:12" ht="24" x14ac:dyDescent="0.25">
      <c r="A28" s="18" t="s">
        <v>20</v>
      </c>
      <c r="B28" s="24">
        <v>0</v>
      </c>
      <c r="C28" s="63">
        <f t="shared" si="0"/>
        <v>0</v>
      </c>
      <c r="D28" s="20">
        <v>0</v>
      </c>
      <c r="E28" s="24">
        <v>0</v>
      </c>
      <c r="F28" s="63">
        <f t="shared" si="5"/>
        <v>0</v>
      </c>
      <c r="G28" s="20">
        <v>0</v>
      </c>
      <c r="H28" s="24">
        <v>0</v>
      </c>
      <c r="I28" s="63">
        <f t="shared" si="6"/>
        <v>0</v>
      </c>
      <c r="J28" s="20">
        <v>0</v>
      </c>
      <c r="K28" s="7"/>
      <c r="L28" s="7"/>
    </row>
    <row r="29" spans="1:12" ht="36" x14ac:dyDescent="0.25">
      <c r="A29" s="18" t="s">
        <v>21</v>
      </c>
      <c r="B29" s="24">
        <v>1123.18</v>
      </c>
      <c r="C29" s="63">
        <f t="shared" si="0"/>
        <v>1.6839280359820092E-3</v>
      </c>
      <c r="D29" s="20">
        <v>0</v>
      </c>
      <c r="E29" s="24">
        <f>B29/B105*E105</f>
        <v>478.30658503401366</v>
      </c>
      <c r="F29" s="63">
        <f t="shared" si="5"/>
        <v>7.1710132688757673E-4</v>
      </c>
      <c r="G29" s="20">
        <v>0</v>
      </c>
      <c r="H29" s="24">
        <f>B29-E29</f>
        <v>644.8734149659864</v>
      </c>
      <c r="I29" s="63">
        <f t="shared" si="6"/>
        <v>9.6682670909443243E-4</v>
      </c>
      <c r="J29" s="20">
        <v>0</v>
      </c>
      <c r="K29" s="7"/>
      <c r="L29" s="7"/>
    </row>
    <row r="30" spans="1:12" ht="36" x14ac:dyDescent="0.25">
      <c r="A30" s="18" t="s">
        <v>22</v>
      </c>
      <c r="B30" s="24">
        <f>B33</f>
        <v>879.78</v>
      </c>
      <c r="C30" s="63">
        <f t="shared" si="0"/>
        <v>1.3190104947526237E-3</v>
      </c>
      <c r="D30" s="20">
        <v>0</v>
      </c>
      <c r="E30" s="24">
        <f>B30/B105*E105</f>
        <v>374.65461224489792</v>
      </c>
      <c r="F30" s="63">
        <f t="shared" si="5"/>
        <v>5.6170106783343012E-4</v>
      </c>
      <c r="G30" s="20">
        <v>0</v>
      </c>
      <c r="H30" s="24">
        <f>B30-E30</f>
        <v>505.12538775510205</v>
      </c>
      <c r="I30" s="63">
        <f t="shared" si="6"/>
        <v>7.5730942691919353E-4</v>
      </c>
      <c r="J30" s="20">
        <v>0</v>
      </c>
      <c r="K30" s="7"/>
      <c r="L30" s="7"/>
    </row>
    <row r="31" spans="1:12" x14ac:dyDescent="0.25">
      <c r="A31" s="18" t="s">
        <v>23</v>
      </c>
      <c r="B31" s="24">
        <v>0</v>
      </c>
      <c r="C31" s="63">
        <f t="shared" si="0"/>
        <v>0</v>
      </c>
      <c r="D31" s="20">
        <v>0</v>
      </c>
      <c r="E31" s="24">
        <v>0</v>
      </c>
      <c r="F31" s="63">
        <f t="shared" si="5"/>
        <v>0</v>
      </c>
      <c r="G31" s="20">
        <v>0</v>
      </c>
      <c r="H31" s="24">
        <v>0</v>
      </c>
      <c r="I31" s="63">
        <f t="shared" si="6"/>
        <v>0</v>
      </c>
      <c r="J31" s="20">
        <v>0</v>
      </c>
      <c r="K31" s="7"/>
      <c r="L31" s="7"/>
    </row>
    <row r="32" spans="1:12" ht="11.25" customHeight="1" x14ac:dyDescent="0.25">
      <c r="A32" s="18" t="s">
        <v>24</v>
      </c>
      <c r="B32" s="24">
        <v>0</v>
      </c>
      <c r="C32" s="63">
        <f t="shared" si="0"/>
        <v>0</v>
      </c>
      <c r="D32" s="20">
        <v>0</v>
      </c>
      <c r="E32" s="24">
        <v>0</v>
      </c>
      <c r="F32" s="63">
        <f t="shared" si="5"/>
        <v>0</v>
      </c>
      <c r="G32" s="20">
        <v>0</v>
      </c>
      <c r="H32" s="24">
        <v>0</v>
      </c>
      <c r="I32" s="63">
        <f t="shared" si="6"/>
        <v>0</v>
      </c>
      <c r="J32" s="20">
        <v>0</v>
      </c>
      <c r="K32" s="7"/>
      <c r="L32" s="7"/>
    </row>
    <row r="33" spans="1:12" ht="12" customHeight="1" x14ac:dyDescent="0.25">
      <c r="A33" s="18" t="s">
        <v>25</v>
      </c>
      <c r="B33" s="24">
        <v>879.78</v>
      </c>
      <c r="C33" s="63">
        <f t="shared" si="0"/>
        <v>1.3190104947526237E-3</v>
      </c>
      <c r="D33" s="20">
        <v>0</v>
      </c>
      <c r="E33" s="24">
        <f>B33/B105*E105</f>
        <v>374.65461224489792</v>
      </c>
      <c r="F33" s="63">
        <f t="shared" si="5"/>
        <v>5.6170106783343012E-4</v>
      </c>
      <c r="G33" s="20">
        <v>0</v>
      </c>
      <c r="H33" s="24">
        <f>B33-E33</f>
        <v>505.12538775510205</v>
      </c>
      <c r="I33" s="63">
        <f t="shared" si="6"/>
        <v>7.5730942691919353E-4</v>
      </c>
      <c r="J33" s="20">
        <v>0</v>
      </c>
      <c r="K33" s="7"/>
      <c r="L33" s="7"/>
    </row>
    <row r="34" spans="1:12" x14ac:dyDescent="0.25">
      <c r="A34" s="18" t="s">
        <v>26</v>
      </c>
      <c r="B34" s="24">
        <v>0</v>
      </c>
      <c r="C34" s="63">
        <f t="shared" si="0"/>
        <v>0</v>
      </c>
      <c r="D34" s="20">
        <v>0</v>
      </c>
      <c r="E34" s="24">
        <v>0</v>
      </c>
      <c r="F34" s="63">
        <f t="shared" si="5"/>
        <v>0</v>
      </c>
      <c r="G34" s="20">
        <v>0</v>
      </c>
      <c r="H34" s="24">
        <v>0</v>
      </c>
      <c r="I34" s="63">
        <f t="shared" si="6"/>
        <v>0</v>
      </c>
      <c r="J34" s="20">
        <v>0</v>
      </c>
      <c r="K34" s="7"/>
      <c r="L34" s="7"/>
    </row>
    <row r="35" spans="1:12" ht="24" x14ac:dyDescent="0.25">
      <c r="A35" s="18" t="s">
        <v>104</v>
      </c>
      <c r="B35" s="24">
        <v>467.1</v>
      </c>
      <c r="C35" s="63">
        <f t="shared" si="0"/>
        <v>7.002998500749625E-4</v>
      </c>
      <c r="D35" s="20">
        <v>0</v>
      </c>
      <c r="E35" s="24">
        <f>B35/B105*E105</f>
        <v>198.91469387755106</v>
      </c>
      <c r="F35" s="63">
        <f t="shared" si="5"/>
        <v>2.9822292935165076E-4</v>
      </c>
      <c r="G35" s="20">
        <v>0</v>
      </c>
      <c r="H35" s="24">
        <f>B35-E35</f>
        <v>268.18530612244899</v>
      </c>
      <c r="I35" s="63">
        <f t="shared" si="6"/>
        <v>4.0207692072331185E-4</v>
      </c>
      <c r="J35" s="20">
        <v>0</v>
      </c>
      <c r="K35" s="7"/>
      <c r="L35" s="7"/>
    </row>
    <row r="36" spans="1:12" ht="24" x14ac:dyDescent="0.25">
      <c r="A36" s="18" t="s">
        <v>28</v>
      </c>
      <c r="B36" s="24">
        <f>B38+B41</f>
        <v>9952.92</v>
      </c>
      <c r="C36" s="63">
        <v>0</v>
      </c>
      <c r="D36" s="20">
        <v>0</v>
      </c>
      <c r="E36" s="24">
        <f>B36/B105*E105</f>
        <v>4238.4543673469389</v>
      </c>
      <c r="F36" s="63">
        <v>0</v>
      </c>
      <c r="G36" s="20">
        <v>0</v>
      </c>
      <c r="H36" s="24">
        <f>B36-E36</f>
        <v>5714.4656326530612</v>
      </c>
      <c r="I36" s="63">
        <v>0</v>
      </c>
      <c r="J36" s="20">
        <v>0</v>
      </c>
      <c r="K36" s="7"/>
      <c r="L36" s="7"/>
    </row>
    <row r="37" spans="1:12" x14ac:dyDescent="0.25">
      <c r="A37" s="18" t="s">
        <v>29</v>
      </c>
      <c r="B37" s="24">
        <v>0</v>
      </c>
      <c r="C37" s="63">
        <f t="shared" si="0"/>
        <v>0</v>
      </c>
      <c r="D37" s="20">
        <v>0</v>
      </c>
      <c r="E37" s="24">
        <v>0</v>
      </c>
      <c r="F37" s="63">
        <f t="shared" ref="F37:F52" si="7">E37/667000</f>
        <v>0</v>
      </c>
      <c r="G37" s="20">
        <v>0</v>
      </c>
      <c r="H37" s="24">
        <v>0</v>
      </c>
      <c r="I37" s="63">
        <f t="shared" ref="I37:I52" si="8">H37/667000</f>
        <v>0</v>
      </c>
      <c r="J37" s="20">
        <v>0</v>
      </c>
      <c r="K37" s="7"/>
      <c r="L37" s="7"/>
    </row>
    <row r="38" spans="1:12" x14ac:dyDescent="0.25">
      <c r="A38" s="18" t="s">
        <v>30</v>
      </c>
      <c r="B38" s="24">
        <v>9599.2900000000009</v>
      </c>
      <c r="C38" s="63">
        <f t="shared" si="0"/>
        <v>1.4391739130434783E-2</v>
      </c>
      <c r="D38" s="20">
        <v>0</v>
      </c>
      <c r="E38" s="24">
        <f>B38/B105*E105-(B38*0.3)</f>
        <v>1208.0739115646261</v>
      </c>
      <c r="F38" s="63">
        <f t="shared" si="7"/>
        <v>1.8112052647145818E-3</v>
      </c>
      <c r="G38" s="20">
        <v>0</v>
      </c>
      <c r="H38" s="24">
        <f>B38-E38</f>
        <v>8391.2160884353743</v>
      </c>
      <c r="I38" s="63">
        <f t="shared" si="8"/>
        <v>1.2580533865720202E-2</v>
      </c>
      <c r="J38" s="20">
        <v>0</v>
      </c>
      <c r="K38" s="7"/>
      <c r="L38" s="7"/>
    </row>
    <row r="39" spans="1:12" x14ac:dyDescent="0.25">
      <c r="A39" s="18" t="s">
        <v>31</v>
      </c>
      <c r="B39" s="24">
        <v>0</v>
      </c>
      <c r="C39" s="63">
        <f t="shared" si="0"/>
        <v>0</v>
      </c>
      <c r="D39" s="20">
        <v>0</v>
      </c>
      <c r="E39" s="24">
        <v>0</v>
      </c>
      <c r="F39" s="63">
        <f t="shared" si="7"/>
        <v>0</v>
      </c>
      <c r="G39" s="20">
        <v>0</v>
      </c>
      <c r="H39" s="24">
        <v>0</v>
      </c>
      <c r="I39" s="63">
        <f t="shared" si="8"/>
        <v>0</v>
      </c>
      <c r="J39" s="20">
        <v>0</v>
      </c>
      <c r="K39" s="7"/>
      <c r="L39" s="7"/>
    </row>
    <row r="40" spans="1:12" x14ac:dyDescent="0.25">
      <c r="A40" s="18" t="s">
        <v>32</v>
      </c>
      <c r="B40" s="24">
        <v>0</v>
      </c>
      <c r="C40" s="63">
        <f t="shared" si="0"/>
        <v>0</v>
      </c>
      <c r="D40" s="20">
        <v>0</v>
      </c>
      <c r="E40" s="24">
        <v>0</v>
      </c>
      <c r="F40" s="63">
        <f t="shared" si="7"/>
        <v>0</v>
      </c>
      <c r="G40" s="20">
        <v>0</v>
      </c>
      <c r="H40" s="24">
        <v>0</v>
      </c>
      <c r="I40" s="63">
        <f t="shared" si="8"/>
        <v>0</v>
      </c>
      <c r="J40" s="20">
        <v>0</v>
      </c>
      <c r="K40" s="7"/>
      <c r="L40" s="7"/>
    </row>
    <row r="41" spans="1:12" x14ac:dyDescent="0.25">
      <c r="A41" s="18" t="s">
        <v>33</v>
      </c>
      <c r="B41" s="24">
        <v>353.63</v>
      </c>
      <c r="C41" s="63">
        <f t="shared" si="0"/>
        <v>5.3017991004497751E-4</v>
      </c>
      <c r="D41" s="20">
        <v>0</v>
      </c>
      <c r="E41" s="24">
        <f>B41/B105*E105</f>
        <v>150.5934557823129</v>
      </c>
      <c r="F41" s="63">
        <f t="shared" si="7"/>
        <v>2.2577729502595639E-4</v>
      </c>
      <c r="G41" s="20">
        <v>0</v>
      </c>
      <c r="H41" s="24">
        <f>B41-E41</f>
        <v>203.03654421768709</v>
      </c>
      <c r="I41" s="63">
        <f t="shared" si="8"/>
        <v>3.0440261501902112E-4</v>
      </c>
      <c r="J41" s="20">
        <v>0</v>
      </c>
      <c r="K41" s="7"/>
      <c r="L41" s="7"/>
    </row>
    <row r="42" spans="1:12" ht="24" x14ac:dyDescent="0.25">
      <c r="A42" s="18" t="s">
        <v>34</v>
      </c>
      <c r="B42" s="24">
        <v>0</v>
      </c>
      <c r="C42" s="63">
        <f t="shared" si="0"/>
        <v>0</v>
      </c>
      <c r="D42" s="20">
        <v>0</v>
      </c>
      <c r="E42" s="24">
        <v>0</v>
      </c>
      <c r="F42" s="63">
        <f t="shared" si="7"/>
        <v>0</v>
      </c>
      <c r="G42" s="20">
        <v>0</v>
      </c>
      <c r="H42" s="24">
        <v>0</v>
      </c>
      <c r="I42" s="63">
        <f t="shared" si="8"/>
        <v>0</v>
      </c>
      <c r="J42" s="20">
        <v>0</v>
      </c>
      <c r="K42" s="7"/>
      <c r="L42" s="7"/>
    </row>
    <row r="43" spans="1:12" ht="24" x14ac:dyDescent="0.25">
      <c r="A43" s="18" t="s">
        <v>35</v>
      </c>
      <c r="B43" s="52">
        <f>B46+B47</f>
        <v>6747.36</v>
      </c>
      <c r="C43" s="63">
        <f t="shared" si="0"/>
        <v>1.0115982008995501E-2</v>
      </c>
      <c r="D43" s="20">
        <v>0</v>
      </c>
      <c r="E43" s="52">
        <f>B43/B105*E105</f>
        <v>2873.365551020408</v>
      </c>
      <c r="F43" s="63">
        <f t="shared" si="7"/>
        <v>4.307894379340942E-3</v>
      </c>
      <c r="G43" s="20">
        <v>0</v>
      </c>
      <c r="H43" s="52">
        <f>B43-E43</f>
        <v>3873.9944489795917</v>
      </c>
      <c r="I43" s="63">
        <f t="shared" si="8"/>
        <v>5.8080876296545602E-3</v>
      </c>
      <c r="J43" s="20">
        <v>0</v>
      </c>
      <c r="K43" s="7"/>
      <c r="L43" s="7"/>
    </row>
    <row r="44" spans="1:12" x14ac:dyDescent="0.25">
      <c r="A44" s="18" t="s">
        <v>36</v>
      </c>
      <c r="B44" s="24">
        <v>0</v>
      </c>
      <c r="C44" s="63">
        <f t="shared" si="0"/>
        <v>0</v>
      </c>
      <c r="D44" s="20">
        <v>0</v>
      </c>
      <c r="E44" s="24">
        <v>0</v>
      </c>
      <c r="F44" s="63">
        <f t="shared" si="7"/>
        <v>0</v>
      </c>
      <c r="G44" s="20">
        <v>0</v>
      </c>
      <c r="H44" s="24">
        <v>0</v>
      </c>
      <c r="I44" s="63">
        <f t="shared" si="8"/>
        <v>0</v>
      </c>
      <c r="J44" s="20">
        <v>0</v>
      </c>
      <c r="K44" s="7"/>
      <c r="L44" s="7"/>
    </row>
    <row r="45" spans="1:12" ht="24" x14ac:dyDescent="0.25">
      <c r="A45" s="18" t="s">
        <v>19</v>
      </c>
      <c r="B45" s="24">
        <v>0</v>
      </c>
      <c r="C45" s="63">
        <f t="shared" si="0"/>
        <v>0</v>
      </c>
      <c r="D45" s="20">
        <v>0</v>
      </c>
      <c r="E45" s="24">
        <v>0</v>
      </c>
      <c r="F45" s="63">
        <f t="shared" si="7"/>
        <v>0</v>
      </c>
      <c r="G45" s="20">
        <v>0</v>
      </c>
      <c r="H45" s="24">
        <v>0</v>
      </c>
      <c r="I45" s="63">
        <f t="shared" si="8"/>
        <v>0</v>
      </c>
      <c r="J45" s="20">
        <v>0</v>
      </c>
      <c r="K45" s="7"/>
      <c r="L45" s="7"/>
    </row>
    <row r="46" spans="1:12" x14ac:dyDescent="0.25">
      <c r="A46" s="18" t="s">
        <v>37</v>
      </c>
      <c r="B46" s="24">
        <v>747.36</v>
      </c>
      <c r="C46" s="63">
        <f t="shared" si="0"/>
        <v>1.12047976011994E-3</v>
      </c>
      <c r="D46" s="20">
        <v>0</v>
      </c>
      <c r="E46" s="24">
        <f>B46/B105*E105</f>
        <v>318.26351020408163</v>
      </c>
      <c r="F46" s="63">
        <f t="shared" si="7"/>
        <v>4.7715668696264113E-4</v>
      </c>
      <c r="G46" s="20">
        <v>0</v>
      </c>
      <c r="H46" s="24">
        <f>B46-E46</f>
        <v>429.09648979591839</v>
      </c>
      <c r="I46" s="63">
        <f t="shared" si="8"/>
        <v>6.4332307315729891E-4</v>
      </c>
      <c r="J46" s="20">
        <v>0</v>
      </c>
      <c r="K46" s="7"/>
      <c r="L46" s="7"/>
    </row>
    <row r="47" spans="1:12" ht="36" x14ac:dyDescent="0.25">
      <c r="A47" s="18" t="s">
        <v>103</v>
      </c>
      <c r="B47" s="24">
        <v>6000</v>
      </c>
      <c r="C47" s="63">
        <f t="shared" si="0"/>
        <v>8.9955022488755615E-3</v>
      </c>
      <c r="D47" s="20">
        <v>0</v>
      </c>
      <c r="E47" s="24">
        <f>B47/B105*E105</f>
        <v>2555.1020408163263</v>
      </c>
      <c r="F47" s="63">
        <f t="shared" si="7"/>
        <v>3.8307376923783004E-3</v>
      </c>
      <c r="G47" s="20">
        <v>0</v>
      </c>
      <c r="H47" s="24">
        <f>B47-E47</f>
        <v>3444.8979591836737</v>
      </c>
      <c r="I47" s="63">
        <f t="shared" si="8"/>
        <v>5.164764556497262E-3</v>
      </c>
      <c r="J47" s="20">
        <v>0</v>
      </c>
      <c r="K47" s="7"/>
      <c r="L47" s="7"/>
    </row>
    <row r="48" spans="1:12" ht="36" x14ac:dyDescent="0.25">
      <c r="A48" s="18" t="s">
        <v>38</v>
      </c>
      <c r="B48" s="24">
        <v>1039.28</v>
      </c>
      <c r="C48" s="63">
        <f t="shared" si="0"/>
        <v>1.5581409295352324E-3</v>
      </c>
      <c r="D48" s="20">
        <v>0</v>
      </c>
      <c r="E48" s="24">
        <f>B48/B105*E105</f>
        <v>442.57774149659866</v>
      </c>
      <c r="F48" s="63">
        <f t="shared" si="7"/>
        <v>6.6353484482248673E-4</v>
      </c>
      <c r="G48" s="20">
        <v>0</v>
      </c>
      <c r="H48" s="24">
        <f>B48-E48</f>
        <v>596.70225850340125</v>
      </c>
      <c r="I48" s="63">
        <f t="shared" si="8"/>
        <v>8.9460608471274555E-4</v>
      </c>
      <c r="J48" s="20">
        <v>0</v>
      </c>
      <c r="K48" s="7"/>
      <c r="L48" s="7"/>
    </row>
    <row r="49" spans="1:12" ht="48" x14ac:dyDescent="0.25">
      <c r="A49" s="18" t="s">
        <v>39</v>
      </c>
      <c r="B49" s="24"/>
      <c r="C49" s="63">
        <f t="shared" si="0"/>
        <v>0</v>
      </c>
      <c r="D49" s="20">
        <v>0</v>
      </c>
      <c r="E49" s="24">
        <f>B49/270*190</f>
        <v>0</v>
      </c>
      <c r="F49" s="63">
        <f t="shared" si="7"/>
        <v>0</v>
      </c>
      <c r="G49" s="20">
        <v>0</v>
      </c>
      <c r="H49" s="24">
        <f>B49-E49</f>
        <v>0</v>
      </c>
      <c r="I49" s="63">
        <f t="shared" si="8"/>
        <v>0</v>
      </c>
      <c r="J49" s="20">
        <v>0</v>
      </c>
      <c r="K49" s="7"/>
      <c r="L49" s="7"/>
    </row>
    <row r="50" spans="1:12" ht="48" x14ac:dyDescent="0.25">
      <c r="A50" s="18" t="s">
        <v>40</v>
      </c>
      <c r="B50" s="24">
        <v>0</v>
      </c>
      <c r="C50" s="63">
        <f t="shared" si="0"/>
        <v>0</v>
      </c>
      <c r="D50" s="20">
        <v>0</v>
      </c>
      <c r="E50" s="24">
        <v>0</v>
      </c>
      <c r="F50" s="63">
        <f t="shared" si="7"/>
        <v>0</v>
      </c>
      <c r="G50" s="20">
        <v>0</v>
      </c>
      <c r="H50" s="24">
        <v>0</v>
      </c>
      <c r="I50" s="63">
        <f t="shared" si="8"/>
        <v>0</v>
      </c>
      <c r="J50" s="20">
        <v>0</v>
      </c>
      <c r="K50" s="7"/>
      <c r="L50" s="7"/>
    </row>
    <row r="51" spans="1:12" x14ac:dyDescent="0.25">
      <c r="A51" s="18" t="s">
        <v>41</v>
      </c>
      <c r="B51" s="24">
        <v>0</v>
      </c>
      <c r="C51" s="63">
        <f t="shared" si="0"/>
        <v>0</v>
      </c>
      <c r="D51" s="20">
        <v>0</v>
      </c>
      <c r="E51" s="24">
        <v>0</v>
      </c>
      <c r="F51" s="63">
        <f t="shared" si="7"/>
        <v>0</v>
      </c>
      <c r="G51" s="20">
        <v>0</v>
      </c>
      <c r="H51" s="24">
        <v>0</v>
      </c>
      <c r="I51" s="63">
        <f t="shared" si="8"/>
        <v>0</v>
      </c>
      <c r="J51" s="20">
        <v>0</v>
      </c>
      <c r="K51" s="7"/>
      <c r="L51" s="7"/>
    </row>
    <row r="52" spans="1:12" ht="24" x14ac:dyDescent="0.25">
      <c r="A52" s="18" t="s">
        <v>97</v>
      </c>
      <c r="B52" s="24">
        <v>138977.72</v>
      </c>
      <c r="C52" s="63">
        <f t="shared" si="0"/>
        <v>0.2083623988005997</v>
      </c>
      <c r="D52" s="20">
        <v>0</v>
      </c>
      <c r="E52" s="24">
        <f>B52/B105*E105-(B52*0.3)</f>
        <v>17490.393333333333</v>
      </c>
      <c r="F52" s="63">
        <f t="shared" si="7"/>
        <v>2.6222478760619689E-2</v>
      </c>
      <c r="G52" s="20">
        <v>0</v>
      </c>
      <c r="H52" s="24">
        <f>B52-E52</f>
        <v>121487.32666666666</v>
      </c>
      <c r="I52" s="63">
        <f t="shared" si="8"/>
        <v>0.18213992003998</v>
      </c>
      <c r="J52" s="20">
        <v>0</v>
      </c>
      <c r="K52" s="7"/>
      <c r="L52" s="7"/>
    </row>
    <row r="53" spans="1:12" ht="24" x14ac:dyDescent="0.25">
      <c r="A53" s="16" t="s">
        <v>89</v>
      </c>
      <c r="B53" s="48">
        <f>B54+B63+B64+B71+B72+B73+B74</f>
        <v>250347.4</v>
      </c>
      <c r="C53" s="63">
        <f>B53/B105</f>
        <v>1.1353623582766439</v>
      </c>
      <c r="D53" s="13">
        <f>C53/C101*100</f>
        <v>12.962703349504649</v>
      </c>
      <c r="E53" s="48">
        <f>E54+E63+E64+E71+E72+E73+E74</f>
        <v>106610.52544217688</v>
      </c>
      <c r="F53" s="63">
        <f>E53/E105</f>
        <v>1.1353623582766441</v>
      </c>
      <c r="G53" s="13">
        <f>F53/F101*100</f>
        <v>20.835962792614559</v>
      </c>
      <c r="H53" s="48">
        <f>H54+H63+H64+H71+H72+H73+H74</f>
        <v>143736.87455782312</v>
      </c>
      <c r="I53" s="63">
        <f>H53/H105</f>
        <v>1.1353623582766439</v>
      </c>
      <c r="J53" s="13">
        <f>I53/I101*100</f>
        <v>10.12499532926206</v>
      </c>
      <c r="K53" s="7">
        <f>B53/B105*E105</f>
        <v>106610.52544217686</v>
      </c>
      <c r="L53" s="7"/>
    </row>
    <row r="54" spans="1:12" ht="24" x14ac:dyDescent="0.25">
      <c r="A54" s="18" t="s">
        <v>43</v>
      </c>
      <c r="B54" s="24">
        <f>B55+B58+B59+B60+B61+B62</f>
        <v>226329.25999999998</v>
      </c>
      <c r="C54" s="63">
        <f t="shared" si="0"/>
        <v>0.33932422788605693</v>
      </c>
      <c r="D54" s="20">
        <v>0</v>
      </c>
      <c r="E54" s="24">
        <f>B54/B105*E105</f>
        <v>96382.392353741496</v>
      </c>
      <c r="F54" s="63">
        <f t="shared" ref="F54:F76" si="9">E54/667000</f>
        <v>0.1445013378616814</v>
      </c>
      <c r="G54" s="20">
        <v>0</v>
      </c>
      <c r="H54" s="24">
        <f>B54-E54</f>
        <v>129946.86764625848</v>
      </c>
      <c r="I54" s="63">
        <f t="shared" ref="I54:I76" si="10">H54/667000</f>
        <v>0.19482289002437553</v>
      </c>
      <c r="J54" s="20">
        <v>0</v>
      </c>
      <c r="K54" s="7"/>
      <c r="L54" s="7"/>
    </row>
    <row r="55" spans="1:12" x14ac:dyDescent="0.25">
      <c r="A55" s="18" t="s">
        <v>16</v>
      </c>
      <c r="B55" s="24">
        <v>169588.44</v>
      </c>
      <c r="C55" s="63">
        <f t="shared" si="0"/>
        <v>0.25425553223388309</v>
      </c>
      <c r="D55" s="20">
        <v>0</v>
      </c>
      <c r="E55" s="24">
        <f>B55/B105*E105</f>
        <v>72219.294857142857</v>
      </c>
      <c r="F55" s="63">
        <f t="shared" si="9"/>
        <v>0.10827480488327265</v>
      </c>
      <c r="G55" s="20">
        <v>0</v>
      </c>
      <c r="H55" s="24">
        <f>B55-E55</f>
        <v>97369.145142857145</v>
      </c>
      <c r="I55" s="63">
        <f t="shared" si="10"/>
        <v>0.14598072735061041</v>
      </c>
      <c r="J55" s="20">
        <v>0</v>
      </c>
      <c r="K55" s="7"/>
      <c r="L55" s="7"/>
    </row>
    <row r="56" spans="1:12" x14ac:dyDescent="0.25">
      <c r="A56" s="18" t="s">
        <v>17</v>
      </c>
      <c r="B56" s="24">
        <v>0</v>
      </c>
      <c r="C56" s="63">
        <f t="shared" si="0"/>
        <v>0</v>
      </c>
      <c r="D56" s="20">
        <v>0</v>
      </c>
      <c r="E56" s="24">
        <v>0</v>
      </c>
      <c r="F56" s="63">
        <f t="shared" si="9"/>
        <v>0</v>
      </c>
      <c r="G56" s="20">
        <v>0</v>
      </c>
      <c r="H56" s="24">
        <v>0</v>
      </c>
      <c r="I56" s="63">
        <f t="shared" si="10"/>
        <v>0</v>
      </c>
      <c r="J56" s="20">
        <v>0</v>
      </c>
      <c r="K56" s="7"/>
      <c r="L56" s="7"/>
    </row>
    <row r="57" spans="1:12" x14ac:dyDescent="0.25">
      <c r="A57" s="18" t="s">
        <v>44</v>
      </c>
      <c r="B57" s="24">
        <v>0</v>
      </c>
      <c r="C57" s="63">
        <f t="shared" si="0"/>
        <v>0</v>
      </c>
      <c r="D57" s="20">
        <v>0</v>
      </c>
      <c r="E57" s="24">
        <v>0</v>
      </c>
      <c r="F57" s="63">
        <f t="shared" si="9"/>
        <v>0</v>
      </c>
      <c r="G57" s="20">
        <v>0</v>
      </c>
      <c r="H57" s="24">
        <v>0</v>
      </c>
      <c r="I57" s="63">
        <f t="shared" si="10"/>
        <v>0</v>
      </c>
      <c r="J57" s="20">
        <v>0</v>
      </c>
      <c r="K57" s="7"/>
      <c r="L57" s="7"/>
    </row>
    <row r="58" spans="1:12" ht="24" x14ac:dyDescent="0.25">
      <c r="A58" s="18" t="s">
        <v>19</v>
      </c>
      <c r="B58" s="24">
        <v>37309.46</v>
      </c>
      <c r="C58" s="63">
        <f t="shared" si="0"/>
        <v>5.5936221889055469E-2</v>
      </c>
      <c r="D58" s="20">
        <v>0</v>
      </c>
      <c r="E58" s="24">
        <f>B58/B105*E105</f>
        <v>15888.246231292516</v>
      </c>
      <c r="F58" s="63">
        <f t="shared" si="9"/>
        <v>2.3820459117380084E-2</v>
      </c>
      <c r="G58" s="20">
        <v>0</v>
      </c>
      <c r="H58" s="24">
        <f>B58-E58</f>
        <v>21421.213768707483</v>
      </c>
      <c r="I58" s="63">
        <f t="shared" si="10"/>
        <v>3.2115762771675389E-2</v>
      </c>
      <c r="J58" s="20">
        <v>0</v>
      </c>
      <c r="K58" s="7"/>
      <c r="L58" s="7"/>
    </row>
    <row r="59" spans="1:12" x14ac:dyDescent="0.25">
      <c r="A59" s="18" t="s">
        <v>37</v>
      </c>
      <c r="B59" s="24">
        <v>747.36</v>
      </c>
      <c r="C59" s="63">
        <f t="shared" si="0"/>
        <v>1.12047976011994E-3</v>
      </c>
      <c r="D59" s="20">
        <v>0</v>
      </c>
      <c r="E59" s="24">
        <f>B59/B105*E105</f>
        <v>318.26351020408163</v>
      </c>
      <c r="F59" s="63">
        <f t="shared" si="9"/>
        <v>4.7715668696264113E-4</v>
      </c>
      <c r="G59" s="20">
        <v>0</v>
      </c>
      <c r="H59" s="24">
        <f>B59-E59</f>
        <v>429.09648979591839</v>
      </c>
      <c r="I59" s="63">
        <f t="shared" si="10"/>
        <v>6.4332307315729891E-4</v>
      </c>
      <c r="J59" s="20">
        <v>0</v>
      </c>
      <c r="K59" s="7"/>
      <c r="L59" s="7"/>
    </row>
    <row r="60" spans="1:12" ht="24" x14ac:dyDescent="0.25">
      <c r="A60" s="18" t="s">
        <v>45</v>
      </c>
      <c r="B60" s="24">
        <v>9342</v>
      </c>
      <c r="C60" s="63">
        <f t="shared" si="0"/>
        <v>1.400599700149925E-2</v>
      </c>
      <c r="D60" s="20">
        <v>0</v>
      </c>
      <c r="E60" s="24">
        <f>B60/B105*E105</f>
        <v>3978.2938775510202</v>
      </c>
      <c r="F60" s="63">
        <f t="shared" si="9"/>
        <v>5.964458587033014E-3</v>
      </c>
      <c r="G60" s="20">
        <v>0</v>
      </c>
      <c r="H60" s="24">
        <f>B60-E60</f>
        <v>5363.7061224489798</v>
      </c>
      <c r="I60" s="63">
        <f t="shared" si="10"/>
        <v>8.0415384144662365E-3</v>
      </c>
      <c r="J60" s="20">
        <v>0</v>
      </c>
      <c r="K60" s="7"/>
      <c r="L60" s="7"/>
    </row>
    <row r="61" spans="1:12" ht="36" x14ac:dyDescent="0.25">
      <c r="A61" s="18" t="s">
        <v>46</v>
      </c>
      <c r="B61" s="24">
        <v>9342</v>
      </c>
      <c r="C61" s="63">
        <f t="shared" si="0"/>
        <v>1.400599700149925E-2</v>
      </c>
      <c r="D61" s="20">
        <v>0</v>
      </c>
      <c r="E61" s="24">
        <f>B61/B105*E105</f>
        <v>3978.2938775510202</v>
      </c>
      <c r="F61" s="63">
        <f t="shared" si="9"/>
        <v>5.964458587033014E-3</v>
      </c>
      <c r="G61" s="20">
        <v>0</v>
      </c>
      <c r="H61" s="24">
        <f>B61-E61</f>
        <v>5363.7061224489798</v>
      </c>
      <c r="I61" s="63">
        <f t="shared" si="10"/>
        <v>8.0415384144662365E-3</v>
      </c>
      <c r="J61" s="20">
        <v>0</v>
      </c>
      <c r="K61" s="7"/>
      <c r="L61" s="7"/>
    </row>
    <row r="62" spans="1:12" ht="24" x14ac:dyDescent="0.25">
      <c r="A62" s="18" t="s">
        <v>47</v>
      </c>
      <c r="B62" s="24"/>
      <c r="C62" s="63">
        <f t="shared" si="0"/>
        <v>0</v>
      </c>
      <c r="D62" s="20">
        <v>0</v>
      </c>
      <c r="E62" s="24"/>
      <c r="F62" s="63">
        <f t="shared" si="9"/>
        <v>0</v>
      </c>
      <c r="G62" s="20">
        <v>0</v>
      </c>
      <c r="H62" s="24"/>
      <c r="I62" s="63">
        <f t="shared" si="10"/>
        <v>0</v>
      </c>
      <c r="J62" s="20">
        <v>0</v>
      </c>
      <c r="K62" s="7"/>
      <c r="L62" s="7"/>
    </row>
    <row r="63" spans="1:12" ht="48" x14ac:dyDescent="0.25">
      <c r="A63" s="18" t="s">
        <v>48</v>
      </c>
      <c r="B63" s="24">
        <v>1830.35</v>
      </c>
      <c r="C63" s="63">
        <f t="shared" si="0"/>
        <v>2.7441529235382308E-3</v>
      </c>
      <c r="D63" s="20">
        <v>0</v>
      </c>
      <c r="E63" s="24">
        <f>B63/B105*E105</f>
        <v>779.4551700680272</v>
      </c>
      <c r="F63" s="63">
        <f t="shared" si="9"/>
        <v>1.1685984558741037E-3</v>
      </c>
      <c r="G63" s="20">
        <v>0</v>
      </c>
      <c r="H63" s="24">
        <f>B63-E63</f>
        <v>1050.8948299319727</v>
      </c>
      <c r="I63" s="63">
        <f t="shared" si="10"/>
        <v>1.5755544676641271E-3</v>
      </c>
      <c r="J63" s="20">
        <v>0</v>
      </c>
      <c r="K63" s="7"/>
      <c r="L63" s="7"/>
    </row>
    <row r="64" spans="1:12" ht="60" x14ac:dyDescent="0.25">
      <c r="A64" s="18" t="s">
        <v>49</v>
      </c>
      <c r="B64" s="24">
        <f>SUM(B65:B70)</f>
        <v>11077.04</v>
      </c>
      <c r="C64" s="63">
        <f t="shared" si="0"/>
        <v>1.6607256371814094E-2</v>
      </c>
      <c r="D64" s="20">
        <v>0</v>
      </c>
      <c r="E64" s="24">
        <f>B64/B105*E105</f>
        <v>4717.1612517006806</v>
      </c>
      <c r="F64" s="63">
        <f t="shared" si="9"/>
        <v>7.0722057746636889E-3</v>
      </c>
      <c r="G64" s="20">
        <v>0</v>
      </c>
      <c r="H64" s="24">
        <f>B64-E64</f>
        <v>6359.8787482993203</v>
      </c>
      <c r="I64" s="63">
        <f t="shared" si="10"/>
        <v>9.5350505971504053E-3</v>
      </c>
      <c r="J64" s="20">
        <v>0</v>
      </c>
      <c r="K64" s="7"/>
      <c r="L64" s="7"/>
    </row>
    <row r="65" spans="1:12" ht="12" customHeight="1" x14ac:dyDescent="0.25">
      <c r="A65" s="18" t="s">
        <v>24</v>
      </c>
      <c r="B65" s="24">
        <v>0</v>
      </c>
      <c r="C65" s="63">
        <f t="shared" si="0"/>
        <v>0</v>
      </c>
      <c r="D65" s="20">
        <v>0</v>
      </c>
      <c r="E65" s="24">
        <v>0</v>
      </c>
      <c r="F65" s="63">
        <f t="shared" si="9"/>
        <v>0</v>
      </c>
      <c r="G65" s="20">
        <v>0</v>
      </c>
      <c r="H65" s="24">
        <v>0</v>
      </c>
      <c r="I65" s="63">
        <f t="shared" si="10"/>
        <v>0</v>
      </c>
      <c r="J65" s="20">
        <v>0</v>
      </c>
      <c r="K65" s="7"/>
      <c r="L65" s="7"/>
    </row>
    <row r="66" spans="1:12" x14ac:dyDescent="0.25">
      <c r="A66" s="18" t="s">
        <v>50</v>
      </c>
      <c r="B66" s="24">
        <v>0</v>
      </c>
      <c r="C66" s="63">
        <f t="shared" si="0"/>
        <v>0</v>
      </c>
      <c r="D66" s="20">
        <v>0</v>
      </c>
      <c r="E66" s="24">
        <v>0</v>
      </c>
      <c r="F66" s="63">
        <f t="shared" si="9"/>
        <v>0</v>
      </c>
      <c r="G66" s="20">
        <v>0</v>
      </c>
      <c r="H66" s="24">
        <v>0</v>
      </c>
      <c r="I66" s="63">
        <f t="shared" si="10"/>
        <v>0</v>
      </c>
      <c r="J66" s="20">
        <v>0</v>
      </c>
      <c r="K66" s="7"/>
      <c r="L66" s="7"/>
    </row>
    <row r="67" spans="1:12" x14ac:dyDescent="0.25">
      <c r="A67" s="18" t="s">
        <v>51</v>
      </c>
      <c r="B67" s="24">
        <v>0</v>
      </c>
      <c r="C67" s="63">
        <f t="shared" si="0"/>
        <v>0</v>
      </c>
      <c r="D67" s="20">
        <v>0</v>
      </c>
      <c r="E67" s="24">
        <v>0</v>
      </c>
      <c r="F67" s="63">
        <f t="shared" si="9"/>
        <v>0</v>
      </c>
      <c r="G67" s="20">
        <v>0</v>
      </c>
      <c r="H67" s="24">
        <v>0</v>
      </c>
      <c r="I67" s="63">
        <f t="shared" si="10"/>
        <v>0</v>
      </c>
      <c r="J67" s="20">
        <v>0</v>
      </c>
      <c r="K67" s="7"/>
      <c r="L67" s="7"/>
    </row>
    <row r="68" spans="1:12" x14ac:dyDescent="0.25">
      <c r="A68" s="18" t="s">
        <v>52</v>
      </c>
      <c r="B68" s="24"/>
      <c r="C68" s="63">
        <f t="shared" si="0"/>
        <v>0</v>
      </c>
      <c r="D68" s="20">
        <v>0</v>
      </c>
      <c r="E68" s="24">
        <f>B68/270*190</f>
        <v>0</v>
      </c>
      <c r="F68" s="63">
        <f t="shared" si="9"/>
        <v>0</v>
      </c>
      <c r="G68" s="20">
        <v>0</v>
      </c>
      <c r="H68" s="24">
        <f t="shared" ref="H68:H74" si="11">B68-E68</f>
        <v>0</v>
      </c>
      <c r="I68" s="63">
        <f t="shared" si="10"/>
        <v>0</v>
      </c>
      <c r="J68" s="20">
        <v>0</v>
      </c>
      <c r="K68" s="7"/>
      <c r="L68" s="7"/>
    </row>
    <row r="69" spans="1:12" x14ac:dyDescent="0.25">
      <c r="A69" s="18" t="s">
        <v>53</v>
      </c>
      <c r="B69" s="24">
        <v>11077.04</v>
      </c>
      <c r="C69" s="63">
        <f t="shared" si="0"/>
        <v>1.6607256371814094E-2</v>
      </c>
      <c r="D69" s="20">
        <v>0</v>
      </c>
      <c r="E69" s="24">
        <f>B69/B105*E105</f>
        <v>4717.1612517006806</v>
      </c>
      <c r="F69" s="63">
        <f t="shared" si="9"/>
        <v>7.0722057746636889E-3</v>
      </c>
      <c r="G69" s="20">
        <v>0</v>
      </c>
      <c r="H69" s="24">
        <f t="shared" si="11"/>
        <v>6359.8787482993203</v>
      </c>
      <c r="I69" s="63">
        <f t="shared" si="10"/>
        <v>9.5350505971504053E-3</v>
      </c>
      <c r="J69" s="20">
        <v>0</v>
      </c>
      <c r="K69" s="7"/>
      <c r="L69" s="7"/>
    </row>
    <row r="70" spans="1:12" x14ac:dyDescent="0.25">
      <c r="A70" s="18" t="s">
        <v>54</v>
      </c>
      <c r="B70" s="24"/>
      <c r="C70" s="63">
        <f t="shared" si="0"/>
        <v>0</v>
      </c>
      <c r="D70" s="20">
        <v>0</v>
      </c>
      <c r="E70" s="24">
        <f>B70/270*190</f>
        <v>0</v>
      </c>
      <c r="F70" s="63">
        <f t="shared" si="9"/>
        <v>0</v>
      </c>
      <c r="G70" s="20">
        <v>0</v>
      </c>
      <c r="H70" s="24">
        <f t="shared" si="11"/>
        <v>0</v>
      </c>
      <c r="I70" s="63">
        <f t="shared" si="10"/>
        <v>0</v>
      </c>
      <c r="J70" s="20">
        <v>0</v>
      </c>
      <c r="K70" s="7"/>
      <c r="L70" s="7"/>
    </row>
    <row r="71" spans="1:12" ht="24" x14ac:dyDescent="0.25">
      <c r="A71" s="18" t="s">
        <v>102</v>
      </c>
      <c r="B71" s="24">
        <v>778.5</v>
      </c>
      <c r="C71" s="63">
        <f t="shared" si="0"/>
        <v>1.1671664167916041E-3</v>
      </c>
      <c r="D71" s="20">
        <v>0</v>
      </c>
      <c r="E71" s="24">
        <f>B71/B105*E105</f>
        <v>331.52448979591838</v>
      </c>
      <c r="F71" s="63">
        <f t="shared" si="9"/>
        <v>4.9703821558608457E-4</v>
      </c>
      <c r="G71" s="20">
        <v>0</v>
      </c>
      <c r="H71" s="24">
        <f t="shared" si="11"/>
        <v>446.97551020408162</v>
      </c>
      <c r="I71" s="63">
        <f t="shared" si="10"/>
        <v>6.7012820120551967E-4</v>
      </c>
      <c r="J71" s="20">
        <v>0</v>
      </c>
      <c r="K71" s="7"/>
      <c r="L71" s="7"/>
    </row>
    <row r="72" spans="1:12" x14ac:dyDescent="0.25">
      <c r="A72" s="18" t="s">
        <v>55</v>
      </c>
      <c r="B72" s="24">
        <v>2111.29</v>
      </c>
      <c r="C72" s="63">
        <f t="shared" si="0"/>
        <v>3.1653523238380811E-3</v>
      </c>
      <c r="D72" s="20">
        <v>0</v>
      </c>
      <c r="E72" s="24">
        <f>B72/B105*E105</f>
        <v>899.09356462585038</v>
      </c>
      <c r="F72" s="63">
        <f t="shared" si="9"/>
        <v>1.3479663637568971E-3</v>
      </c>
      <c r="G72" s="20">
        <v>0</v>
      </c>
      <c r="H72" s="24">
        <f t="shared" si="11"/>
        <v>1212.1964353741496</v>
      </c>
      <c r="I72" s="63">
        <f t="shared" si="10"/>
        <v>1.8173859600811837E-3</v>
      </c>
      <c r="J72" s="20">
        <v>0</v>
      </c>
      <c r="K72" s="7"/>
      <c r="L72" s="7"/>
    </row>
    <row r="73" spans="1:12" ht="24" x14ac:dyDescent="0.25">
      <c r="A73" s="18" t="s">
        <v>56</v>
      </c>
      <c r="B73" s="24">
        <v>8220.9599999999991</v>
      </c>
      <c r="C73" s="63">
        <f t="shared" si="0"/>
        <v>1.232527736131934E-2</v>
      </c>
      <c r="D73" s="20">
        <v>0</v>
      </c>
      <c r="E73" s="24">
        <f>B73/B105*E105</f>
        <v>3500.8986122448973</v>
      </c>
      <c r="F73" s="63">
        <f t="shared" si="9"/>
        <v>5.2487235565890512E-3</v>
      </c>
      <c r="G73" s="20">
        <v>0</v>
      </c>
      <c r="H73" s="24">
        <f t="shared" si="11"/>
        <v>4720.0613877551023</v>
      </c>
      <c r="I73" s="63">
        <f t="shared" si="10"/>
        <v>7.0765538047302887E-3</v>
      </c>
      <c r="J73" s="20">
        <v>0</v>
      </c>
      <c r="K73" s="7"/>
      <c r="L73" s="7"/>
    </row>
    <row r="74" spans="1:12" ht="24" x14ac:dyDescent="0.25">
      <c r="A74" s="18" t="s">
        <v>57</v>
      </c>
      <c r="B74" s="24">
        <v>0</v>
      </c>
      <c r="C74" s="63">
        <f t="shared" si="0"/>
        <v>0</v>
      </c>
      <c r="D74" s="20">
        <v>0</v>
      </c>
      <c r="E74" s="24">
        <f>B74/270*190</f>
        <v>0</v>
      </c>
      <c r="F74" s="63">
        <f t="shared" si="9"/>
        <v>0</v>
      </c>
      <c r="G74" s="20">
        <v>0</v>
      </c>
      <c r="H74" s="24">
        <f t="shared" si="11"/>
        <v>0</v>
      </c>
      <c r="I74" s="63">
        <f t="shared" si="10"/>
        <v>0</v>
      </c>
      <c r="J74" s="20">
        <v>0</v>
      </c>
      <c r="K74" s="7"/>
      <c r="L74" s="7"/>
    </row>
    <row r="75" spans="1:12" x14ac:dyDescent="0.25">
      <c r="A75" s="18" t="s">
        <v>58</v>
      </c>
      <c r="B75" s="24">
        <v>0</v>
      </c>
      <c r="C75" s="63">
        <f t="shared" si="0"/>
        <v>0</v>
      </c>
      <c r="D75" s="20">
        <v>0</v>
      </c>
      <c r="E75" s="24">
        <v>0</v>
      </c>
      <c r="F75" s="63">
        <f t="shared" si="9"/>
        <v>0</v>
      </c>
      <c r="G75" s="20">
        <v>0</v>
      </c>
      <c r="H75" s="24">
        <v>0</v>
      </c>
      <c r="I75" s="63">
        <f t="shared" si="10"/>
        <v>0</v>
      </c>
      <c r="J75" s="20">
        <v>0</v>
      </c>
      <c r="K75" s="7"/>
      <c r="L75" s="7"/>
    </row>
    <row r="76" spans="1:12" ht="36" x14ac:dyDescent="0.25">
      <c r="A76" s="18" t="s">
        <v>59</v>
      </c>
      <c r="B76" s="24">
        <v>0</v>
      </c>
      <c r="C76" s="63">
        <f t="shared" si="0"/>
        <v>0</v>
      </c>
      <c r="D76" s="20">
        <v>0</v>
      </c>
      <c r="E76" s="24">
        <v>0</v>
      </c>
      <c r="F76" s="63">
        <f t="shared" si="9"/>
        <v>0</v>
      </c>
      <c r="G76" s="20">
        <v>0</v>
      </c>
      <c r="H76" s="24">
        <v>0</v>
      </c>
      <c r="I76" s="63">
        <f t="shared" si="10"/>
        <v>0</v>
      </c>
      <c r="J76" s="20">
        <v>0</v>
      </c>
      <c r="K76" s="7"/>
      <c r="L76" s="7"/>
    </row>
    <row r="77" spans="1:12" ht="24" x14ac:dyDescent="0.25">
      <c r="A77" s="16" t="s">
        <v>90</v>
      </c>
      <c r="B77" s="22">
        <f>B78+B94+B82+B93</f>
        <v>113050.72</v>
      </c>
      <c r="C77" s="62">
        <f>B77/B105</f>
        <v>0.51270167800453514</v>
      </c>
      <c r="D77" s="13">
        <f>C77/C101*100</f>
        <v>5.8536375724609577</v>
      </c>
      <c r="E77" s="22">
        <f>E78+E94+E82+E93</f>
        <v>48142.687564625841</v>
      </c>
      <c r="F77" s="62">
        <f>E77/E105</f>
        <v>0.51270167800453503</v>
      </c>
      <c r="G77" s="13">
        <f>F77/F101*100</f>
        <v>9.4090076253968924</v>
      </c>
      <c r="H77" s="22">
        <f>H78+H94+H82+H93</f>
        <v>64908.03243537416</v>
      </c>
      <c r="I77" s="62">
        <f>H77/H105</f>
        <v>0.51270167800453526</v>
      </c>
      <c r="J77" s="13">
        <f>I77/I101*100</f>
        <v>4.5721985208143296</v>
      </c>
      <c r="K77" s="7">
        <f>B77/B105*E105</f>
        <v>48142.687564625849</v>
      </c>
      <c r="L77" s="7"/>
    </row>
    <row r="78" spans="1:12" ht="36" x14ac:dyDescent="0.25">
      <c r="A78" s="18" t="s">
        <v>61</v>
      </c>
      <c r="B78" s="24">
        <f>B79+B80</f>
        <v>84271.07</v>
      </c>
      <c r="C78" s="63">
        <f t="shared" si="0"/>
        <v>0.12634343328335834</v>
      </c>
      <c r="D78" s="20">
        <v>0</v>
      </c>
      <c r="E78" s="24">
        <f>B78/B105*E105</f>
        <v>35886.86382312925</v>
      </c>
      <c r="F78" s="63">
        <f t="shared" ref="F78:F81" si="12">E78/667000</f>
        <v>5.3803394037675034E-2</v>
      </c>
      <c r="G78" s="20">
        <v>0</v>
      </c>
      <c r="H78" s="24">
        <f>B78-E78</f>
        <v>48384.206176870757</v>
      </c>
      <c r="I78" s="63">
        <f t="shared" ref="I78:I81" si="13">H78/667000</f>
        <v>7.2540039245683294E-2</v>
      </c>
      <c r="J78" s="20">
        <v>0</v>
      </c>
      <c r="K78" s="7"/>
      <c r="L78" s="7"/>
    </row>
    <row r="79" spans="1:12" x14ac:dyDescent="0.25">
      <c r="A79" s="18" t="s">
        <v>16</v>
      </c>
      <c r="B79" s="24">
        <v>84271.07</v>
      </c>
      <c r="C79" s="63">
        <f t="shared" si="0"/>
        <v>0.12634343328335834</v>
      </c>
      <c r="D79" s="20">
        <v>0</v>
      </c>
      <c r="E79" s="24">
        <f>B79/B105*E105</f>
        <v>35886.86382312925</v>
      </c>
      <c r="F79" s="63">
        <f t="shared" si="12"/>
        <v>5.3803394037675034E-2</v>
      </c>
      <c r="G79" s="20">
        <v>0</v>
      </c>
      <c r="H79" s="24">
        <f>B79-E79</f>
        <v>48384.206176870757</v>
      </c>
      <c r="I79" s="63">
        <f t="shared" si="13"/>
        <v>7.2540039245683294E-2</v>
      </c>
      <c r="J79" s="20">
        <v>0</v>
      </c>
      <c r="K79" s="7"/>
      <c r="L79" s="7"/>
    </row>
    <row r="80" spans="1:12" x14ac:dyDescent="0.25">
      <c r="A80" s="18" t="s">
        <v>17</v>
      </c>
      <c r="B80" s="24">
        <v>0</v>
      </c>
      <c r="C80" s="63">
        <f t="shared" si="0"/>
        <v>0</v>
      </c>
      <c r="D80" s="20">
        <v>0</v>
      </c>
      <c r="E80" s="24">
        <v>0</v>
      </c>
      <c r="F80" s="63">
        <f t="shared" si="12"/>
        <v>0</v>
      </c>
      <c r="G80" s="20">
        <v>0</v>
      </c>
      <c r="H80" s="24">
        <v>0</v>
      </c>
      <c r="I80" s="63">
        <f t="shared" si="13"/>
        <v>0</v>
      </c>
      <c r="J80" s="20">
        <v>0</v>
      </c>
      <c r="K80" s="7"/>
      <c r="L80" s="7"/>
    </row>
    <row r="81" spans="1:12" x14ac:dyDescent="0.25">
      <c r="A81" s="18" t="s">
        <v>44</v>
      </c>
      <c r="B81" s="24">
        <v>0</v>
      </c>
      <c r="C81" s="63">
        <f t="shared" ref="C81:C100" si="14">B81/667000</f>
        <v>0</v>
      </c>
      <c r="D81" s="20">
        <v>0</v>
      </c>
      <c r="E81" s="24">
        <v>0</v>
      </c>
      <c r="F81" s="63">
        <f t="shared" si="12"/>
        <v>0</v>
      </c>
      <c r="G81" s="20">
        <v>0</v>
      </c>
      <c r="H81" s="24">
        <v>0</v>
      </c>
      <c r="I81" s="63">
        <f t="shared" si="13"/>
        <v>0</v>
      </c>
      <c r="J81" s="20">
        <v>0</v>
      </c>
      <c r="K81" s="7"/>
      <c r="L81" s="7"/>
    </row>
    <row r="82" spans="1:12" ht="24" x14ac:dyDescent="0.25">
      <c r="A82" s="18" t="s">
        <v>62</v>
      </c>
      <c r="B82" s="24">
        <v>18539.63</v>
      </c>
      <c r="C82" s="63">
        <f>B82/667000</f>
        <v>2.7795547226386809E-2</v>
      </c>
      <c r="D82" s="20">
        <v>0</v>
      </c>
      <c r="E82" s="24">
        <f>B82/B105*E105</f>
        <v>7895.1077414965985</v>
      </c>
      <c r="F82" s="63">
        <f>E82/667000</f>
        <v>1.1836743240624585E-2</v>
      </c>
      <c r="G82" s="20">
        <v>0</v>
      </c>
      <c r="H82" s="24">
        <f>B82-E82</f>
        <v>10644.522258503403</v>
      </c>
      <c r="I82" s="63">
        <f>H82/667000</f>
        <v>1.5958803985762222E-2</v>
      </c>
      <c r="J82" s="20">
        <v>0</v>
      </c>
      <c r="K82" s="7"/>
      <c r="L82" s="7"/>
    </row>
    <row r="83" spans="1:12" x14ac:dyDescent="0.25">
      <c r="A83" s="18" t="s">
        <v>63</v>
      </c>
      <c r="B83" s="24">
        <v>0</v>
      </c>
      <c r="C83" s="63">
        <f t="shared" si="14"/>
        <v>0</v>
      </c>
      <c r="D83" s="20">
        <v>0</v>
      </c>
      <c r="E83" s="24">
        <v>0</v>
      </c>
      <c r="F83" s="63">
        <f t="shared" ref="F83:F96" si="15">E83/667000</f>
        <v>0</v>
      </c>
      <c r="G83" s="20">
        <v>0</v>
      </c>
      <c r="H83" s="24">
        <v>0</v>
      </c>
      <c r="I83" s="63">
        <f t="shared" ref="I83:I96" si="16">H83/667000</f>
        <v>0</v>
      </c>
      <c r="J83" s="20">
        <v>0</v>
      </c>
      <c r="K83" s="7"/>
      <c r="L83" s="7"/>
    </row>
    <row r="84" spans="1:12" ht="24" x14ac:dyDescent="0.25">
      <c r="A84" s="18" t="s">
        <v>64</v>
      </c>
      <c r="B84" s="24">
        <v>0</v>
      </c>
      <c r="C84" s="63">
        <f t="shared" si="14"/>
        <v>0</v>
      </c>
      <c r="D84" s="20">
        <v>0</v>
      </c>
      <c r="E84" s="24">
        <v>0</v>
      </c>
      <c r="F84" s="63">
        <f t="shared" si="15"/>
        <v>0</v>
      </c>
      <c r="G84" s="20">
        <v>0</v>
      </c>
      <c r="H84" s="24">
        <v>0</v>
      </c>
      <c r="I84" s="63">
        <f t="shared" si="16"/>
        <v>0</v>
      </c>
      <c r="J84" s="20">
        <v>0</v>
      </c>
      <c r="K84" s="7"/>
      <c r="L84" s="7"/>
    </row>
    <row r="85" spans="1:12" ht="48" x14ac:dyDescent="0.25">
      <c r="A85" s="18" t="s">
        <v>65</v>
      </c>
      <c r="B85" s="24">
        <v>0</v>
      </c>
      <c r="C85" s="63">
        <f t="shared" si="14"/>
        <v>0</v>
      </c>
      <c r="D85" s="20">
        <v>0</v>
      </c>
      <c r="E85" s="24">
        <v>0</v>
      </c>
      <c r="F85" s="63">
        <f t="shared" si="15"/>
        <v>0</v>
      </c>
      <c r="G85" s="20">
        <v>0</v>
      </c>
      <c r="H85" s="24">
        <v>0</v>
      </c>
      <c r="I85" s="63">
        <f t="shared" si="16"/>
        <v>0</v>
      </c>
      <c r="J85" s="20">
        <v>0</v>
      </c>
      <c r="K85" s="7"/>
      <c r="L85" s="7"/>
    </row>
    <row r="86" spans="1:12" ht="60" x14ac:dyDescent="0.25">
      <c r="A86" s="18" t="s">
        <v>66</v>
      </c>
      <c r="B86" s="24">
        <v>0</v>
      </c>
      <c r="C86" s="63">
        <f t="shared" si="14"/>
        <v>0</v>
      </c>
      <c r="D86" s="20">
        <v>0</v>
      </c>
      <c r="E86" s="24">
        <v>0</v>
      </c>
      <c r="F86" s="63">
        <f t="shared" si="15"/>
        <v>0</v>
      </c>
      <c r="G86" s="20">
        <v>0</v>
      </c>
      <c r="H86" s="24">
        <v>0</v>
      </c>
      <c r="I86" s="63">
        <f t="shared" si="16"/>
        <v>0</v>
      </c>
      <c r="J86" s="20">
        <v>0</v>
      </c>
      <c r="K86" s="7"/>
      <c r="L86" s="7"/>
    </row>
    <row r="87" spans="1:12" ht="10.5" customHeight="1" x14ac:dyDescent="0.25">
      <c r="A87" s="18" t="s">
        <v>67</v>
      </c>
      <c r="B87" s="24">
        <v>0</v>
      </c>
      <c r="C87" s="63">
        <f t="shared" si="14"/>
        <v>0</v>
      </c>
      <c r="D87" s="20">
        <v>0</v>
      </c>
      <c r="E87" s="24">
        <v>0</v>
      </c>
      <c r="F87" s="63">
        <f t="shared" si="15"/>
        <v>0</v>
      </c>
      <c r="G87" s="20">
        <v>0</v>
      </c>
      <c r="H87" s="24">
        <v>0</v>
      </c>
      <c r="I87" s="63">
        <f t="shared" si="16"/>
        <v>0</v>
      </c>
      <c r="J87" s="20">
        <v>0</v>
      </c>
      <c r="K87" s="7"/>
      <c r="L87" s="7"/>
    </row>
    <row r="88" spans="1:12" x14ac:dyDescent="0.25">
      <c r="A88" s="18" t="s">
        <v>51</v>
      </c>
      <c r="B88" s="24">
        <v>0</v>
      </c>
      <c r="C88" s="63">
        <f t="shared" si="14"/>
        <v>0</v>
      </c>
      <c r="D88" s="20">
        <v>0</v>
      </c>
      <c r="E88" s="24">
        <v>0</v>
      </c>
      <c r="F88" s="63">
        <f t="shared" si="15"/>
        <v>0</v>
      </c>
      <c r="G88" s="20">
        <v>0</v>
      </c>
      <c r="H88" s="24">
        <v>0</v>
      </c>
      <c r="I88" s="63">
        <f t="shared" si="16"/>
        <v>0</v>
      </c>
      <c r="J88" s="20">
        <v>0</v>
      </c>
      <c r="K88" s="7"/>
      <c r="L88" s="7"/>
    </row>
    <row r="89" spans="1:12" x14ac:dyDescent="0.25">
      <c r="A89" s="18" t="s">
        <v>24</v>
      </c>
      <c r="B89" s="24">
        <v>0</v>
      </c>
      <c r="C89" s="63">
        <f t="shared" si="14"/>
        <v>0</v>
      </c>
      <c r="D89" s="20">
        <v>0</v>
      </c>
      <c r="E89" s="24">
        <v>0</v>
      </c>
      <c r="F89" s="63">
        <f t="shared" si="15"/>
        <v>0</v>
      </c>
      <c r="G89" s="20">
        <v>0</v>
      </c>
      <c r="H89" s="24">
        <v>0</v>
      </c>
      <c r="I89" s="63">
        <f t="shared" si="16"/>
        <v>0</v>
      </c>
      <c r="J89" s="20">
        <v>0</v>
      </c>
      <c r="K89" s="7"/>
      <c r="L89" s="7"/>
    </row>
    <row r="90" spans="1:12" x14ac:dyDescent="0.25">
      <c r="A90" s="18" t="s">
        <v>52</v>
      </c>
      <c r="B90" s="24">
        <v>0</v>
      </c>
      <c r="C90" s="63">
        <f t="shared" si="14"/>
        <v>0</v>
      </c>
      <c r="D90" s="20">
        <v>0</v>
      </c>
      <c r="E90" s="24">
        <v>0</v>
      </c>
      <c r="F90" s="63">
        <f t="shared" si="15"/>
        <v>0</v>
      </c>
      <c r="G90" s="20">
        <v>0</v>
      </c>
      <c r="H90" s="24">
        <v>0</v>
      </c>
      <c r="I90" s="63">
        <f t="shared" si="16"/>
        <v>0</v>
      </c>
      <c r="J90" s="20">
        <v>0</v>
      </c>
      <c r="K90" s="7"/>
      <c r="L90" s="7"/>
    </row>
    <row r="91" spans="1:12" ht="12" customHeight="1" x14ac:dyDescent="0.25">
      <c r="A91" s="18" t="s">
        <v>53</v>
      </c>
      <c r="B91" s="24">
        <v>0</v>
      </c>
      <c r="C91" s="63">
        <f t="shared" si="14"/>
        <v>0</v>
      </c>
      <c r="D91" s="20">
        <v>0</v>
      </c>
      <c r="E91" s="24">
        <v>0</v>
      </c>
      <c r="F91" s="63">
        <f t="shared" si="15"/>
        <v>0</v>
      </c>
      <c r="G91" s="20">
        <v>0</v>
      </c>
      <c r="H91" s="24">
        <v>0</v>
      </c>
      <c r="I91" s="63">
        <f t="shared" si="16"/>
        <v>0</v>
      </c>
      <c r="J91" s="20">
        <v>0</v>
      </c>
      <c r="K91" s="7"/>
      <c r="L91" s="7"/>
    </row>
    <row r="92" spans="1:12" ht="12" customHeight="1" x14ac:dyDescent="0.25">
      <c r="A92" s="18" t="s">
        <v>68</v>
      </c>
      <c r="B92" s="24">
        <v>0</v>
      </c>
      <c r="C92" s="63">
        <f t="shared" si="14"/>
        <v>0</v>
      </c>
      <c r="D92" s="20">
        <v>0</v>
      </c>
      <c r="E92" s="24">
        <v>0</v>
      </c>
      <c r="F92" s="63">
        <f t="shared" si="15"/>
        <v>0</v>
      </c>
      <c r="G92" s="20">
        <v>0</v>
      </c>
      <c r="H92" s="24">
        <v>0</v>
      </c>
      <c r="I92" s="63">
        <f t="shared" si="16"/>
        <v>0</v>
      </c>
      <c r="J92" s="20">
        <v>0</v>
      </c>
      <c r="K92" s="7"/>
      <c r="L92" s="7"/>
    </row>
    <row r="93" spans="1:12" ht="24" x14ac:dyDescent="0.25">
      <c r="A93" s="18" t="s">
        <v>69</v>
      </c>
      <c r="B93" s="24">
        <v>4982.3999999999996</v>
      </c>
      <c r="C93" s="63">
        <f t="shared" si="14"/>
        <v>7.4698650674662661E-3</v>
      </c>
      <c r="D93" s="20">
        <v>0</v>
      </c>
      <c r="E93" s="24">
        <f>B93/B105*E105</f>
        <v>2121.7567346938772</v>
      </c>
      <c r="F93" s="63">
        <f t="shared" si="15"/>
        <v>3.1810445797509405E-3</v>
      </c>
      <c r="G93" s="20">
        <v>0</v>
      </c>
      <c r="H93" s="24">
        <f>B93-E93</f>
        <v>2860.6432653061224</v>
      </c>
      <c r="I93" s="63">
        <f t="shared" si="16"/>
        <v>4.2888204877153261E-3</v>
      </c>
      <c r="J93" s="20">
        <v>0</v>
      </c>
      <c r="K93" s="7"/>
      <c r="L93" s="7"/>
    </row>
    <row r="94" spans="1:12" ht="36" x14ac:dyDescent="0.25">
      <c r="A94" s="18" t="s">
        <v>70</v>
      </c>
      <c r="B94" s="24">
        <v>5257.62</v>
      </c>
      <c r="C94" s="63">
        <f t="shared" si="14"/>
        <v>7.8824887556221881E-3</v>
      </c>
      <c r="D94" s="20">
        <v>0</v>
      </c>
      <c r="E94" s="24">
        <f>B94/B105*E105</f>
        <v>2238.9592653061227</v>
      </c>
      <c r="F94" s="63">
        <f t="shared" si="15"/>
        <v>3.3567605177003339E-3</v>
      </c>
      <c r="G94" s="20">
        <v>0</v>
      </c>
      <c r="H94" s="24">
        <f>B94-E94</f>
        <v>3018.6607346938772</v>
      </c>
      <c r="I94" s="63">
        <f t="shared" si="16"/>
        <v>4.5257282379218547E-3</v>
      </c>
      <c r="J94" s="20">
        <v>0</v>
      </c>
      <c r="K94" s="7"/>
      <c r="L94" s="7"/>
    </row>
    <row r="95" spans="1:12" ht="36" x14ac:dyDescent="0.25">
      <c r="A95" s="18" t="s">
        <v>71</v>
      </c>
      <c r="B95" s="24">
        <v>0</v>
      </c>
      <c r="C95" s="63">
        <f t="shared" si="14"/>
        <v>0</v>
      </c>
      <c r="D95" s="20">
        <v>0</v>
      </c>
      <c r="E95" s="24">
        <v>0</v>
      </c>
      <c r="F95" s="63">
        <f t="shared" si="15"/>
        <v>0</v>
      </c>
      <c r="G95" s="20">
        <v>0</v>
      </c>
      <c r="H95" s="24">
        <v>0</v>
      </c>
      <c r="I95" s="63">
        <f t="shared" si="16"/>
        <v>0</v>
      </c>
      <c r="J95" s="20">
        <v>0</v>
      </c>
      <c r="K95" s="7"/>
      <c r="L95" s="7"/>
    </row>
    <row r="96" spans="1:12" ht="48" x14ac:dyDescent="0.25">
      <c r="A96" s="18" t="s">
        <v>72</v>
      </c>
      <c r="B96" s="24">
        <v>0</v>
      </c>
      <c r="C96" s="63">
        <f t="shared" si="14"/>
        <v>0</v>
      </c>
      <c r="D96" s="20">
        <v>0</v>
      </c>
      <c r="E96" s="24">
        <v>0</v>
      </c>
      <c r="F96" s="63">
        <f t="shared" si="15"/>
        <v>0</v>
      </c>
      <c r="G96" s="20">
        <v>0</v>
      </c>
      <c r="H96" s="24">
        <v>0</v>
      </c>
      <c r="I96" s="63">
        <f t="shared" si="16"/>
        <v>0</v>
      </c>
      <c r="J96" s="20">
        <v>0</v>
      </c>
      <c r="K96" s="7"/>
      <c r="L96" s="7"/>
    </row>
    <row r="97" spans="1:12" ht="24" x14ac:dyDescent="0.25">
      <c r="A97" s="16" t="s">
        <v>73</v>
      </c>
      <c r="B97" s="22"/>
      <c r="C97" s="62">
        <f>B97/B105</f>
        <v>0</v>
      </c>
      <c r="D97" s="13">
        <f>C97/C101*100</f>
        <v>0</v>
      </c>
      <c r="E97" s="22"/>
      <c r="F97" s="62">
        <f>E97/E105</f>
        <v>0</v>
      </c>
      <c r="G97" s="13">
        <f>F97/F101*100</f>
        <v>0</v>
      </c>
      <c r="H97" s="22"/>
      <c r="I97" s="62">
        <f>H97/H105</f>
        <v>0</v>
      </c>
      <c r="J97" s="13">
        <f>I97/I101*100</f>
        <v>0</v>
      </c>
      <c r="K97" s="7"/>
      <c r="L97" s="7"/>
    </row>
    <row r="98" spans="1:12" ht="26.25" customHeight="1" x14ac:dyDescent="0.25">
      <c r="A98" s="16" t="s">
        <v>74</v>
      </c>
      <c r="B98" s="22">
        <v>0</v>
      </c>
      <c r="C98" s="63">
        <f t="shared" si="14"/>
        <v>0</v>
      </c>
      <c r="D98" s="20">
        <v>0</v>
      </c>
      <c r="E98" s="22">
        <v>0</v>
      </c>
      <c r="F98" s="63">
        <f t="shared" ref="F98:F100" si="17">E98/667000</f>
        <v>0</v>
      </c>
      <c r="G98" s="20">
        <v>0</v>
      </c>
      <c r="H98" s="22">
        <v>0</v>
      </c>
      <c r="I98" s="63">
        <f t="shared" ref="I98:I100" si="18">H98/667000</f>
        <v>0</v>
      </c>
      <c r="J98" s="20">
        <v>0</v>
      </c>
      <c r="K98" s="7"/>
      <c r="L98" s="7"/>
    </row>
    <row r="99" spans="1:12" ht="24" x14ac:dyDescent="0.25">
      <c r="A99" s="18" t="s">
        <v>75</v>
      </c>
      <c r="B99" s="24">
        <v>0</v>
      </c>
      <c r="C99" s="63">
        <f t="shared" si="14"/>
        <v>0</v>
      </c>
      <c r="D99" s="20">
        <v>0</v>
      </c>
      <c r="E99" s="24">
        <v>0</v>
      </c>
      <c r="F99" s="63">
        <f t="shared" si="17"/>
        <v>0</v>
      </c>
      <c r="G99" s="20">
        <v>0</v>
      </c>
      <c r="H99" s="24">
        <v>0</v>
      </c>
      <c r="I99" s="63">
        <f t="shared" si="18"/>
        <v>0</v>
      </c>
      <c r="J99" s="20">
        <v>0</v>
      </c>
      <c r="K99" s="7"/>
      <c r="L99" s="7"/>
    </row>
    <row r="100" spans="1:12" x14ac:dyDescent="0.25">
      <c r="A100" s="18" t="s">
        <v>76</v>
      </c>
      <c r="B100" s="24">
        <v>0</v>
      </c>
      <c r="C100" s="63">
        <f t="shared" si="14"/>
        <v>0</v>
      </c>
      <c r="D100" s="20">
        <v>0</v>
      </c>
      <c r="E100" s="24">
        <v>0</v>
      </c>
      <c r="F100" s="63">
        <f t="shared" si="17"/>
        <v>0</v>
      </c>
      <c r="G100" s="20">
        <v>0</v>
      </c>
      <c r="H100" s="24">
        <v>0</v>
      </c>
      <c r="I100" s="63">
        <f t="shared" si="18"/>
        <v>0</v>
      </c>
      <c r="J100" s="20">
        <v>0</v>
      </c>
      <c r="K100" s="7"/>
      <c r="L100" s="7"/>
    </row>
    <row r="101" spans="1:12" ht="36" x14ac:dyDescent="0.25">
      <c r="A101" s="16" t="s">
        <v>77</v>
      </c>
      <c r="B101" s="22">
        <f>B9+B14+B18+B22+B53+B77+B97+B98</f>
        <v>1931290.0499999998</v>
      </c>
      <c r="C101" s="64">
        <f>B101/B105</f>
        <v>8.7586850340136042</v>
      </c>
      <c r="D101" s="20">
        <f>D97+D77+D53+D22+D18+D14+D9</f>
        <v>100</v>
      </c>
      <c r="E101" s="22">
        <f>E9+E14+E18+E22+E53+E77+E97+E98</f>
        <v>511665.94269387762</v>
      </c>
      <c r="F101" s="64">
        <f>E101/E105</f>
        <v>5.4490515728847457</v>
      </c>
      <c r="G101" s="20">
        <f>G97+G77+G53+G22+G18+G14+G9</f>
        <v>100</v>
      </c>
      <c r="H101" s="22">
        <f>H9+H14+H18+H22+H53+H77+H97+H98</f>
        <v>1419624.1073061225</v>
      </c>
      <c r="I101" s="64">
        <f>H101/H105</f>
        <v>11.213460563239515</v>
      </c>
      <c r="J101" s="20">
        <f>J97+J77+J53+J22+J18+J14+J9</f>
        <v>99.999999999999986</v>
      </c>
      <c r="K101" s="7"/>
      <c r="L101" s="7"/>
    </row>
    <row r="102" spans="1:12" x14ac:dyDescent="0.25">
      <c r="A102" s="29" t="s">
        <v>82</v>
      </c>
      <c r="B102" s="30">
        <v>0</v>
      </c>
      <c r="C102" s="65">
        <v>0</v>
      </c>
      <c r="D102" s="30"/>
      <c r="E102" s="30">
        <v>0</v>
      </c>
      <c r="F102" s="65">
        <v>0</v>
      </c>
      <c r="G102" s="30"/>
      <c r="H102" s="30">
        <v>0</v>
      </c>
      <c r="I102" s="65">
        <v>0</v>
      </c>
      <c r="J102" s="30"/>
    </row>
    <row r="103" spans="1:12" x14ac:dyDescent="0.25">
      <c r="A103" s="29" t="s">
        <v>83</v>
      </c>
      <c r="B103" s="30"/>
      <c r="C103" s="65">
        <f>C104-C101</f>
        <v>1.7517370068027205</v>
      </c>
      <c r="D103" s="30"/>
      <c r="E103" s="30"/>
      <c r="F103" s="65">
        <f>F104-F101</f>
        <v>1.0898103145769493</v>
      </c>
      <c r="G103" s="30"/>
      <c r="H103" s="30"/>
      <c r="I103" s="65">
        <f>I104-I101</f>
        <v>2.2426921126479034</v>
      </c>
      <c r="J103" s="30"/>
    </row>
    <row r="104" spans="1:12" ht="15.75" x14ac:dyDescent="0.25">
      <c r="A104" s="33" t="s">
        <v>84</v>
      </c>
      <c r="B104" s="34"/>
      <c r="C104" s="66">
        <f>C101*1.2</f>
        <v>10.510422040816325</v>
      </c>
      <c r="D104" s="37"/>
      <c r="E104" s="34"/>
      <c r="F104" s="66">
        <f>F101*1.2</f>
        <v>6.5388618874616951</v>
      </c>
      <c r="G104" s="37"/>
      <c r="H104" s="34"/>
      <c r="I104" s="66">
        <f>I101*1.2</f>
        <v>13.456152675887418</v>
      </c>
      <c r="J104" s="37"/>
      <c r="K104" s="3"/>
      <c r="L104" s="3"/>
    </row>
    <row r="105" spans="1:12" ht="11.25" customHeight="1" x14ac:dyDescent="0.25">
      <c r="A105" s="37" t="s">
        <v>93</v>
      </c>
      <c r="B105" s="38">
        <v>220500</v>
      </c>
      <c r="C105" s="33"/>
      <c r="D105" s="37"/>
      <c r="E105" s="38">
        <v>93900</v>
      </c>
      <c r="F105" s="33"/>
      <c r="G105" s="37"/>
      <c r="H105" s="38">
        <v>126600</v>
      </c>
      <c r="I105" s="33"/>
      <c r="J105" s="37"/>
      <c r="K105" s="3"/>
      <c r="L105" s="3"/>
    </row>
    <row r="106" spans="1:12" ht="1.5" customHeight="1" x14ac:dyDescent="0.25">
      <c r="A106" s="55"/>
      <c r="B106" s="56"/>
      <c r="C106" s="57"/>
      <c r="D106" s="55"/>
      <c r="E106" s="55"/>
      <c r="F106" s="55"/>
      <c r="G106" s="55"/>
      <c r="H106" s="55"/>
      <c r="I106" s="55"/>
      <c r="J106" s="55"/>
      <c r="K106" s="3"/>
      <c r="L106" s="3"/>
    </row>
    <row r="107" spans="1:12" ht="15" customHeight="1" x14ac:dyDescent="0.25">
      <c r="A107" s="176" t="s">
        <v>85</v>
      </c>
      <c r="B107" s="176"/>
      <c r="C107" s="176"/>
      <c r="D107" s="176"/>
      <c r="E107" s="176"/>
      <c r="F107" s="176"/>
      <c r="G107" s="176"/>
      <c r="H107" s="55"/>
      <c r="I107" s="55"/>
      <c r="J107" s="55"/>
      <c r="K107" s="3"/>
      <c r="L107" s="3"/>
    </row>
    <row r="108" spans="1:12" ht="0.75" hidden="1" customHeight="1" x14ac:dyDescent="0.25">
      <c r="A108" s="67"/>
      <c r="B108" s="67"/>
      <c r="C108" s="67"/>
      <c r="D108" s="54"/>
      <c r="E108" s="54"/>
      <c r="F108" s="54"/>
      <c r="G108" s="54"/>
      <c r="H108" s="54"/>
      <c r="I108" s="54"/>
      <c r="J108" s="54"/>
    </row>
    <row r="109" spans="1:12" ht="15" hidden="1" customHeight="1" x14ac:dyDescent="0.25">
      <c r="A109" s="67"/>
      <c r="B109" s="67"/>
      <c r="C109" s="67"/>
      <c r="D109" s="54"/>
      <c r="E109" s="54"/>
      <c r="F109" s="54"/>
      <c r="G109" s="54"/>
      <c r="H109" s="54"/>
      <c r="I109" s="54"/>
      <c r="J109" s="54"/>
    </row>
    <row r="110" spans="1:12" ht="15.75" customHeight="1" x14ac:dyDescent="0.25">
      <c r="A110" s="177" t="s">
        <v>110</v>
      </c>
      <c r="B110" s="178"/>
      <c r="C110" s="79"/>
      <c r="D110" s="54"/>
      <c r="E110" s="54"/>
      <c r="F110" s="54"/>
      <c r="G110" s="54"/>
      <c r="H110" s="54"/>
      <c r="I110" s="54"/>
      <c r="J110" s="54"/>
    </row>
    <row r="111" spans="1:12" ht="21.75" customHeight="1" x14ac:dyDescent="0.25">
      <c r="A111" s="179" t="s">
        <v>108</v>
      </c>
      <c r="B111" s="180"/>
      <c r="C111" s="180"/>
      <c r="D111" s="54"/>
      <c r="E111" s="54"/>
      <c r="F111" s="54"/>
      <c r="G111" s="54"/>
      <c r="H111" s="54"/>
      <c r="I111" s="54"/>
      <c r="J111" s="54"/>
    </row>
    <row r="112" spans="1:12" ht="15" customHeight="1" x14ac:dyDescent="0.25">
      <c r="A112" s="58"/>
      <c r="B112" s="76"/>
      <c r="C112" s="75"/>
      <c r="D112" s="8"/>
      <c r="E112" s="54"/>
      <c r="F112" s="54"/>
      <c r="G112" s="54"/>
      <c r="H112" s="54"/>
      <c r="I112" s="54"/>
      <c r="J112" s="54"/>
    </row>
    <row r="113" spans="1:10" x14ac:dyDescent="0.25">
      <c r="A113" s="59"/>
      <c r="B113" s="54"/>
      <c r="C113" s="75"/>
      <c r="D113" s="59"/>
      <c r="E113" s="54"/>
      <c r="F113" s="54"/>
      <c r="G113" s="54"/>
      <c r="H113" s="54"/>
      <c r="I113" s="54"/>
      <c r="J113" s="54"/>
    </row>
    <row r="114" spans="1:10" x14ac:dyDescent="0.25">
      <c r="A114" s="59"/>
      <c r="B114" s="54"/>
      <c r="C114" s="75"/>
      <c r="D114" s="59"/>
      <c r="E114" s="54"/>
      <c r="F114" s="54"/>
      <c r="G114" s="54"/>
      <c r="H114" s="54"/>
      <c r="I114" s="54"/>
      <c r="J114" s="54"/>
    </row>
    <row r="115" spans="1:10" x14ac:dyDescent="0.25">
      <c r="A115" s="59"/>
      <c r="B115" s="54"/>
      <c r="C115" s="75"/>
      <c r="D115" s="59"/>
      <c r="E115" s="54"/>
      <c r="F115" s="54"/>
      <c r="G115" s="54"/>
      <c r="H115" s="54"/>
      <c r="I115" s="54"/>
      <c r="J115" s="54"/>
    </row>
    <row r="116" spans="1:10" x14ac:dyDescent="0.25">
      <c r="A116" s="54"/>
      <c r="B116" s="54"/>
      <c r="C116" s="75"/>
      <c r="D116" s="54"/>
      <c r="E116" s="54"/>
      <c r="F116" s="54"/>
      <c r="G116" s="54"/>
      <c r="H116" s="54"/>
      <c r="I116" s="54"/>
      <c r="J116" s="54"/>
    </row>
    <row r="117" spans="1:10" x14ac:dyDescent="0.25">
      <c r="A117" s="54"/>
      <c r="B117" s="54"/>
      <c r="C117" s="60"/>
      <c r="D117" s="54"/>
      <c r="E117" s="54"/>
      <c r="F117" s="54"/>
      <c r="G117" s="54"/>
      <c r="H117" s="54"/>
      <c r="I117" s="54"/>
      <c r="J117" s="54"/>
    </row>
    <row r="118" spans="1:10" x14ac:dyDescent="0.25">
      <c r="A118" s="58"/>
      <c r="B118" s="54"/>
      <c r="C118" s="75"/>
      <c r="D118" s="59"/>
      <c r="E118" s="54"/>
      <c r="F118" s="54"/>
      <c r="G118" s="54"/>
      <c r="H118" s="54"/>
      <c r="I118" s="54"/>
      <c r="J118" s="54"/>
    </row>
    <row r="119" spans="1:10" x14ac:dyDescent="0.25">
      <c r="A119" s="54"/>
      <c r="B119" s="54"/>
      <c r="C119" s="60"/>
      <c r="D119" s="54"/>
      <c r="E119" s="54"/>
      <c r="F119" s="54"/>
      <c r="G119" s="54"/>
      <c r="H119" s="54"/>
      <c r="I119" s="54"/>
      <c r="J119" s="54"/>
    </row>
    <row r="120" spans="1:10" x14ac:dyDescent="0.25">
      <c r="A120" s="54"/>
      <c r="B120" s="54"/>
      <c r="C120" s="75"/>
      <c r="D120" s="54"/>
      <c r="E120" s="54"/>
      <c r="F120" s="54"/>
      <c r="G120" s="54"/>
      <c r="H120" s="54"/>
      <c r="I120" s="54"/>
      <c r="J120" s="54"/>
    </row>
    <row r="121" spans="1:10" x14ac:dyDescent="0.25">
      <c r="A121" s="54"/>
      <c r="B121" s="54"/>
      <c r="C121" s="75"/>
      <c r="D121" s="54"/>
      <c r="E121" s="54"/>
      <c r="F121" s="54"/>
      <c r="G121" s="54"/>
      <c r="H121" s="54"/>
      <c r="I121" s="54"/>
      <c r="J121" s="54"/>
    </row>
    <row r="122" spans="1:10" x14ac:dyDescent="0.25">
      <c r="A122" s="54"/>
      <c r="B122" s="54"/>
      <c r="C122" s="75"/>
      <c r="D122" s="54"/>
      <c r="E122" s="54"/>
      <c r="F122" s="54"/>
      <c r="G122" s="54"/>
      <c r="H122" s="54"/>
      <c r="I122" s="54"/>
      <c r="J122" s="54"/>
    </row>
  </sheetData>
  <mergeCells count="13">
    <mergeCell ref="A107:G107"/>
    <mergeCell ref="A110:B110"/>
    <mergeCell ref="A111:C111"/>
    <mergeCell ref="B1:C1"/>
    <mergeCell ref="B2:C2"/>
    <mergeCell ref="A3:J4"/>
    <mergeCell ref="A5:A6"/>
    <mergeCell ref="B5:C5"/>
    <mergeCell ref="D5:D6"/>
    <mergeCell ref="E5:F5"/>
    <mergeCell ref="G5:G6"/>
    <mergeCell ref="H5:I5"/>
    <mergeCell ref="J5:J6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1" manualBreakCount="1">
    <brk id="2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view="pageBreakPreview" topLeftCell="A106" zoomScale="115" zoomScaleSheetLayoutView="115" workbookViewId="0">
      <selection sqref="A1:J116"/>
    </sheetView>
  </sheetViews>
  <sheetFormatPr defaultRowHeight="15" x14ac:dyDescent="0.25"/>
  <cols>
    <col min="1" max="1" width="36.7109375" customWidth="1"/>
    <col min="2" max="2" width="12.7109375" customWidth="1"/>
    <col min="3" max="3" width="10.28515625" customWidth="1"/>
    <col min="4" max="4" width="9.28515625" customWidth="1"/>
    <col min="5" max="12" width="10.28515625" customWidth="1"/>
    <col min="13" max="13" width="11.7109375" bestFit="1" customWidth="1"/>
  </cols>
  <sheetData>
    <row r="1" spans="1:16" ht="18" customHeight="1" x14ac:dyDescent="0.25">
      <c r="A1" s="1"/>
      <c r="B1" s="181"/>
      <c r="C1" s="181"/>
      <c r="D1" s="70"/>
      <c r="E1" s="70"/>
      <c r="F1" s="70"/>
      <c r="G1" s="70"/>
      <c r="H1" s="70"/>
      <c r="I1" s="70"/>
      <c r="J1" s="70"/>
      <c r="K1" s="70"/>
      <c r="L1" s="70"/>
    </row>
    <row r="2" spans="1:16" ht="90.75" hidden="1" customHeight="1" x14ac:dyDescent="0.25">
      <c r="A2" s="42"/>
      <c r="B2" s="189"/>
      <c r="C2" s="189"/>
      <c r="D2" s="78"/>
      <c r="E2" s="78"/>
      <c r="F2" s="78"/>
      <c r="G2" s="78"/>
      <c r="H2" s="78"/>
      <c r="I2" s="78"/>
      <c r="J2" s="78"/>
      <c r="K2" s="70"/>
      <c r="L2" s="70"/>
    </row>
    <row r="3" spans="1:16" ht="18.75" x14ac:dyDescent="0.25">
      <c r="A3" s="190" t="s">
        <v>105</v>
      </c>
      <c r="B3" s="191"/>
      <c r="C3" s="191"/>
      <c r="D3" s="191"/>
      <c r="E3" s="191"/>
      <c r="F3" s="191"/>
      <c r="G3" s="191"/>
      <c r="H3" s="191"/>
      <c r="I3" s="191"/>
      <c r="J3" s="43"/>
      <c r="K3" s="71"/>
      <c r="L3" s="71"/>
    </row>
    <row r="4" spans="1:16" ht="23.25" customHeight="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44"/>
      <c r="K4" s="72"/>
      <c r="L4" s="72"/>
    </row>
    <row r="5" spans="1:16" ht="41.25" customHeight="1" x14ac:dyDescent="0.25">
      <c r="A5" s="184" t="s">
        <v>0</v>
      </c>
      <c r="B5" s="184" t="s">
        <v>1</v>
      </c>
      <c r="C5" s="184"/>
      <c r="D5" s="184" t="s">
        <v>86</v>
      </c>
      <c r="E5" s="184" t="s">
        <v>94</v>
      </c>
      <c r="F5" s="184"/>
      <c r="G5" s="193" t="s">
        <v>86</v>
      </c>
      <c r="H5" s="184" t="s">
        <v>95</v>
      </c>
      <c r="I5" s="184"/>
      <c r="J5" s="184" t="s">
        <v>86</v>
      </c>
      <c r="K5" s="6"/>
      <c r="L5" s="6"/>
    </row>
    <row r="6" spans="1:16" ht="24" x14ac:dyDescent="0.25">
      <c r="A6" s="184"/>
      <c r="B6" s="74" t="s">
        <v>79</v>
      </c>
      <c r="C6" s="74" t="s">
        <v>2</v>
      </c>
      <c r="D6" s="184"/>
      <c r="E6" s="74" t="s">
        <v>79</v>
      </c>
      <c r="F6" s="74" t="s">
        <v>2</v>
      </c>
      <c r="G6" s="193"/>
      <c r="H6" s="74" t="s">
        <v>79</v>
      </c>
      <c r="I6" s="74" t="s">
        <v>2</v>
      </c>
      <c r="J6" s="184"/>
      <c r="K6" s="6"/>
      <c r="L6" s="6"/>
      <c r="P6" s="4"/>
    </row>
    <row r="7" spans="1:16" x14ac:dyDescent="0.25">
      <c r="A7" s="45" t="s">
        <v>81</v>
      </c>
      <c r="B7" s="46">
        <f>B8+B22</f>
        <v>1424270.3</v>
      </c>
      <c r="C7" s="47">
        <f>B7/B106</f>
        <v>8.3534914956011725</v>
      </c>
      <c r="D7" s="14"/>
      <c r="E7" s="46">
        <f>E8+E22</f>
        <v>1024952.3371589443</v>
      </c>
      <c r="F7" s="47">
        <f>E7/E106</f>
        <v>7.8660962176434719</v>
      </c>
      <c r="G7" s="14"/>
      <c r="H7" s="12">
        <f>H8+H22</f>
        <v>394345.71012316714</v>
      </c>
      <c r="I7" s="13">
        <f>H7/H106</f>
        <v>9.8095947791832625</v>
      </c>
      <c r="J7" s="13"/>
      <c r="K7" s="7">
        <f>B7/B106*E106</f>
        <v>1088459.9418768329</v>
      </c>
      <c r="L7" s="7"/>
      <c r="M7" s="5">
        <f>B7</f>
        <v>1424270.3</v>
      </c>
    </row>
    <row r="8" spans="1:16" x14ac:dyDescent="0.25">
      <c r="A8" s="11" t="s">
        <v>80</v>
      </c>
      <c r="B8" s="15">
        <f>B9+B14+B18</f>
        <v>1108341.05</v>
      </c>
      <c r="C8" s="13">
        <f>B8/B106</f>
        <v>6.5005340175953084</v>
      </c>
      <c r="D8" s="14"/>
      <c r="E8" s="15">
        <f>E9+E14+E18</f>
        <v>754964.92569266865</v>
      </c>
      <c r="F8" s="13">
        <f>E8/E106</f>
        <v>5.7940516169813403</v>
      </c>
      <c r="G8" s="14"/>
      <c r="H8" s="15">
        <f>H9+H14+H18</f>
        <v>319856.81950733135</v>
      </c>
      <c r="I8" s="13">
        <f>H8/H106</f>
        <v>7.9566373011773965</v>
      </c>
      <c r="J8" s="13"/>
      <c r="K8" s="7"/>
      <c r="L8" s="7"/>
      <c r="M8" s="5">
        <f>M7-B8-B22</f>
        <v>0</v>
      </c>
    </row>
    <row r="9" spans="1:16" ht="24" x14ac:dyDescent="0.25">
      <c r="A9" s="16" t="s">
        <v>3</v>
      </c>
      <c r="B9" s="17">
        <f>B10+B12+B13</f>
        <v>452651.12</v>
      </c>
      <c r="C9" s="13">
        <f>B9/B106</f>
        <v>2.6548452785923753</v>
      </c>
      <c r="D9" s="14">
        <f>C9/C102*100</f>
        <v>25.592036069817709</v>
      </c>
      <c r="E9" s="22">
        <f>E10+E12+E13</f>
        <v>295790.9878005865</v>
      </c>
      <c r="F9" s="13">
        <f>E9/E106</f>
        <v>2.2700766523452534</v>
      </c>
      <c r="G9" s="14">
        <f>F9/F102*100</f>
        <v>22.961793292670894</v>
      </c>
      <c r="H9" s="17">
        <f>H10+H12+H13</f>
        <v>156860.13219941346</v>
      </c>
      <c r="I9" s="13">
        <f>H9/H106</f>
        <v>3.9019933382938672</v>
      </c>
      <c r="J9" s="13">
        <f>I9/I102*100</f>
        <v>32.984385194530851</v>
      </c>
      <c r="K9" s="7"/>
      <c r="L9" s="7"/>
      <c r="M9" s="5">
        <f>B54</f>
        <v>239674.96000000002</v>
      </c>
    </row>
    <row r="10" spans="1:16" ht="24" x14ac:dyDescent="0.25">
      <c r="A10" s="18" t="s">
        <v>4</v>
      </c>
      <c r="B10" s="19">
        <v>421699.92</v>
      </c>
      <c r="C10" s="20">
        <f>B10/B106</f>
        <v>2.4733133137829912</v>
      </c>
      <c r="D10" s="21">
        <f>C10/C102*100</f>
        <v>23.842113907238851</v>
      </c>
      <c r="E10" s="24">
        <f>B10/B106*E106-(B10*0.1)</f>
        <v>280102.73278592376</v>
      </c>
      <c r="F10" s="20">
        <f>E10/E106</f>
        <v>2.1496756161621162</v>
      </c>
      <c r="G10" s="21">
        <f>F10/F102*100</f>
        <v>21.743938511333706</v>
      </c>
      <c r="H10" s="24">
        <f>B10-E10</f>
        <v>141597.18721407623</v>
      </c>
      <c r="I10" s="20">
        <f>H10/H106</f>
        <v>3.5223180899023938</v>
      </c>
      <c r="J10" s="20">
        <f>I10/I102*100</f>
        <v>29.77490902273161</v>
      </c>
      <c r="K10" s="7"/>
      <c r="L10" s="7"/>
      <c r="M10">
        <f>B78</f>
        <v>104773.41</v>
      </c>
    </row>
    <row r="11" spans="1:16" ht="36" x14ac:dyDescent="0.25">
      <c r="A11" s="18" t="s">
        <v>5</v>
      </c>
      <c r="B11" s="19">
        <v>0</v>
      </c>
      <c r="C11" s="20">
        <f>B11/667000</f>
        <v>0</v>
      </c>
      <c r="D11" s="21">
        <v>0</v>
      </c>
      <c r="E11" s="24">
        <v>0</v>
      </c>
      <c r="F11" s="20">
        <f>E11/667000</f>
        <v>0</v>
      </c>
      <c r="G11" s="21">
        <v>0</v>
      </c>
      <c r="H11" s="19">
        <v>0</v>
      </c>
      <c r="I11" s="20">
        <f>H11/667000</f>
        <v>0</v>
      </c>
      <c r="J11" s="20">
        <v>0</v>
      </c>
      <c r="K11" s="7"/>
      <c r="L11" s="7"/>
      <c r="M11" s="5">
        <f>M7+M9+M10</f>
        <v>1768718.67</v>
      </c>
    </row>
    <row r="12" spans="1:16" ht="24" x14ac:dyDescent="0.25">
      <c r="A12" s="18" t="s">
        <v>6</v>
      </c>
      <c r="B12" s="24">
        <v>4400</v>
      </c>
      <c r="C12" s="20">
        <f>B12/667000</f>
        <v>6.5967016491754122E-3</v>
      </c>
      <c r="D12" s="21">
        <v>0</v>
      </c>
      <c r="E12" s="24">
        <f>B12/B106*E106</f>
        <v>3362.5806451612902</v>
      </c>
      <c r="F12" s="20">
        <f>E12/667000</f>
        <v>5.0413502925956378E-3</v>
      </c>
      <c r="G12" s="21">
        <v>0</v>
      </c>
      <c r="H12" s="24">
        <f>B12-E12</f>
        <v>1037.4193548387098</v>
      </c>
      <c r="I12" s="20">
        <f>H12/667000</f>
        <v>1.5553513565797748E-3</v>
      </c>
      <c r="J12" s="20">
        <v>0</v>
      </c>
      <c r="K12" s="7"/>
      <c r="L12" s="7"/>
    </row>
    <row r="13" spans="1:16" ht="33" customHeight="1" x14ac:dyDescent="0.25">
      <c r="A13" s="18" t="s">
        <v>87</v>
      </c>
      <c r="B13" s="19">
        <v>26551.200000000001</v>
      </c>
      <c r="C13" s="20">
        <f>B13/B106</f>
        <v>0.15572551319648095</v>
      </c>
      <c r="D13" s="21">
        <f>C13/C102*100</f>
        <v>1.5011545052554913</v>
      </c>
      <c r="E13" s="24">
        <f>B13/B106*E106-(B13*0.3)</f>
        <v>12325.674369501467</v>
      </c>
      <c r="F13" s="20">
        <f>E13/E106</f>
        <v>9.4594584570233814E-2</v>
      </c>
      <c r="G13" s="21">
        <f>F13/F102*100</f>
        <v>0.95682288757244927</v>
      </c>
      <c r="H13" s="24">
        <f>B13-E13</f>
        <v>14225.525630498534</v>
      </c>
      <c r="I13" s="20">
        <f>H13/H106</f>
        <v>0.35386879677857053</v>
      </c>
      <c r="J13" s="20">
        <f>I13/I102*100</f>
        <v>2.9913287105644146</v>
      </c>
      <c r="K13" s="7"/>
      <c r="L13" s="7"/>
    </row>
    <row r="14" spans="1:16" ht="24" x14ac:dyDescent="0.25">
      <c r="A14" s="16" t="s">
        <v>7</v>
      </c>
      <c r="B14" s="22">
        <v>498750</v>
      </c>
      <c r="C14" s="13">
        <f>B14/B106</f>
        <v>2.9252199413489737</v>
      </c>
      <c r="D14" s="14">
        <f>C14/C102*100</f>
        <v>28.19837933864293</v>
      </c>
      <c r="E14" s="22">
        <f>E15+E16+E17</f>
        <v>353681.3183577712</v>
      </c>
      <c r="F14" s="13">
        <f>E14/E106</f>
        <v>2.7143616144111373</v>
      </c>
      <c r="G14" s="14">
        <f>F14/F102*100</f>
        <v>27.455729412166917</v>
      </c>
      <c r="H14" s="22">
        <f>H15+H16+H17</f>
        <v>117593.84164222874</v>
      </c>
      <c r="I14" s="13">
        <f>H14/H106</f>
        <v>2.9252199413489737</v>
      </c>
      <c r="J14" s="13">
        <f>I14/I102*100</f>
        <v>24.727510520652483</v>
      </c>
      <c r="K14" s="7"/>
      <c r="L14" s="7"/>
    </row>
    <row r="15" spans="1:16" ht="24" x14ac:dyDescent="0.25">
      <c r="A15" s="18" t="s">
        <v>8</v>
      </c>
      <c r="B15" s="24">
        <f>B14-B16</f>
        <v>453834</v>
      </c>
      <c r="C15" s="20">
        <f>B15/B106</f>
        <v>2.6617829912023461</v>
      </c>
      <c r="D15" s="21">
        <f>C15/C102*100</f>
        <v>25.658913862202859</v>
      </c>
      <c r="E15" s="24">
        <f>B15/B106*E106-27474.84</f>
        <v>319355.48375366564</v>
      </c>
      <c r="F15" s="20">
        <f>E15/E106</f>
        <v>2.4509246642645097</v>
      </c>
      <c r="G15" s="21">
        <f>F15/F102*100</f>
        <v>24.791068380272154</v>
      </c>
      <c r="H15" s="24">
        <f>B15/B106*H106</f>
        <v>107003.67624633432</v>
      </c>
      <c r="I15" s="20">
        <f>H15/H106</f>
        <v>2.6617829912023461</v>
      </c>
      <c r="J15" s="20">
        <f>I15/I102*100</f>
        <v>22.500621573192578</v>
      </c>
      <c r="K15" s="7"/>
      <c r="L15" s="7"/>
    </row>
    <row r="16" spans="1:16" ht="24" x14ac:dyDescent="0.25">
      <c r="A16" s="18" t="s">
        <v>9</v>
      </c>
      <c r="B16" s="24">
        <v>44916</v>
      </c>
      <c r="C16" s="20">
        <f>B16/667000</f>
        <v>6.7340329835082452E-2</v>
      </c>
      <c r="D16" s="21">
        <v>0</v>
      </c>
      <c r="E16" s="24">
        <f>B16/B106*E106</f>
        <v>34325.83460410557</v>
      </c>
      <c r="F16" s="20">
        <f>E16/667000</f>
        <v>5.1463020395960374E-2</v>
      </c>
      <c r="G16" s="21">
        <v>0</v>
      </c>
      <c r="H16" s="24">
        <f>B16-E16</f>
        <v>10590.16539589443</v>
      </c>
      <c r="I16" s="20">
        <f>H16/667000</f>
        <v>1.5877309439122085E-2</v>
      </c>
      <c r="J16" s="20">
        <v>0</v>
      </c>
      <c r="K16" s="7"/>
      <c r="L16" s="7"/>
    </row>
    <row r="17" spans="1:12" ht="24" x14ac:dyDescent="0.25">
      <c r="A17" s="18" t="s">
        <v>10</v>
      </c>
      <c r="B17" s="19">
        <v>0</v>
      </c>
      <c r="C17" s="20">
        <f t="shared" ref="C17:C81" si="0">B17/667000</f>
        <v>0</v>
      </c>
      <c r="D17" s="21">
        <v>0</v>
      </c>
      <c r="E17" s="24">
        <v>0</v>
      </c>
      <c r="F17" s="20">
        <f>E17/667000</f>
        <v>0</v>
      </c>
      <c r="G17" s="21">
        <v>0</v>
      </c>
      <c r="H17" s="19">
        <v>0</v>
      </c>
      <c r="I17" s="20">
        <f t="shared" ref="I17" si="1">H17/667000</f>
        <v>0</v>
      </c>
      <c r="J17" s="20">
        <v>0</v>
      </c>
      <c r="K17" s="7"/>
      <c r="L17" s="7"/>
    </row>
    <row r="18" spans="1:12" ht="23.25" customHeight="1" x14ac:dyDescent="0.25">
      <c r="A18" s="16" t="s">
        <v>11</v>
      </c>
      <c r="B18" s="17">
        <f>B19+B20+B21</f>
        <v>156939.93</v>
      </c>
      <c r="C18" s="13">
        <f>B18/B106</f>
        <v>0.92046879765395895</v>
      </c>
      <c r="D18" s="14">
        <f>C18/C102*100</f>
        <v>8.8730860742257001</v>
      </c>
      <c r="E18" s="22">
        <f>E19+E20+E21</f>
        <v>105492.61953431084</v>
      </c>
      <c r="F18" s="13">
        <f>E18/E106</f>
        <v>0.80961335022494885</v>
      </c>
      <c r="G18" s="14">
        <f>F18/F102*100</f>
        <v>8.1892276085242433</v>
      </c>
      <c r="H18" s="17">
        <f>H19+H20+H21</f>
        <v>45402.84566568915</v>
      </c>
      <c r="I18" s="13">
        <f>H18/H106</f>
        <v>1.1294240215345559</v>
      </c>
      <c r="J18" s="13">
        <f>I18/I102*100</f>
        <v>9.5472630895215218</v>
      </c>
      <c r="K18" s="7"/>
      <c r="L18" s="7"/>
    </row>
    <row r="19" spans="1:12" ht="36" x14ac:dyDescent="0.25">
      <c r="A19" s="18" t="s">
        <v>12</v>
      </c>
      <c r="B19" s="24">
        <v>109725</v>
      </c>
      <c r="C19" s="20">
        <f>B19/B106</f>
        <v>0.6435483870967742</v>
      </c>
      <c r="D19" s="21">
        <f>C19/C102*100</f>
        <v>6.2036434545014449</v>
      </c>
      <c r="E19" s="24">
        <f>E14*0.22</f>
        <v>77809.890038709666</v>
      </c>
      <c r="F19" s="20">
        <f>E19/E106</f>
        <v>0.59715955517045027</v>
      </c>
      <c r="G19" s="21">
        <f>F19/F102*100</f>
        <v>6.0402604706767224</v>
      </c>
      <c r="H19" s="24">
        <f>H14*0.22</f>
        <v>25870.645161290322</v>
      </c>
      <c r="I19" s="20">
        <f>H19/H106</f>
        <v>0.6435483870967742</v>
      </c>
      <c r="J19" s="20">
        <f>I19/I102*100</f>
        <v>5.4400523145435464</v>
      </c>
      <c r="K19" s="7"/>
      <c r="L19" s="7"/>
    </row>
    <row r="20" spans="1:12" ht="36" x14ac:dyDescent="0.25">
      <c r="A20" s="18" t="s">
        <v>13</v>
      </c>
      <c r="B20" s="19">
        <v>19214.93</v>
      </c>
      <c r="C20" s="20">
        <f>B20/B106</f>
        <v>0.1126975366568915</v>
      </c>
      <c r="D20" s="21">
        <f>C20/C102*100</f>
        <v>1.0863757094846522</v>
      </c>
      <c r="E20" s="24">
        <f>B20/B106*E106</f>
        <v>14684.489026392963</v>
      </c>
      <c r="F20" s="20">
        <f>E20/E106</f>
        <v>0.1126975366568915</v>
      </c>
      <c r="G20" s="21">
        <f>F20/F102*100</f>
        <v>1.139933992376561</v>
      </c>
      <c r="H20" s="24">
        <f>B20-E20</f>
        <v>4530.4409736070374</v>
      </c>
      <c r="I20" s="20">
        <f>H20/H106</f>
        <v>0.11269753665689147</v>
      </c>
      <c r="J20" s="20">
        <f>I20/I102*100</f>
        <v>0.95265640847839783</v>
      </c>
      <c r="K20" s="7"/>
      <c r="L20" s="7"/>
    </row>
    <row r="21" spans="1:12" ht="24" x14ac:dyDescent="0.25">
      <c r="A21" s="18" t="s">
        <v>78</v>
      </c>
      <c r="B21" s="24">
        <v>28000</v>
      </c>
      <c r="C21" s="20">
        <f t="shared" si="0"/>
        <v>4.1979010494752625E-2</v>
      </c>
      <c r="D21" s="21">
        <v>0</v>
      </c>
      <c r="E21" s="24">
        <f>B21/B106*E106-(B21*0.3)</f>
        <v>12998.240469208209</v>
      </c>
      <c r="F21" s="20">
        <f>E21/667000</f>
        <v>1.9487616895364632E-2</v>
      </c>
      <c r="G21" s="21">
        <v>0</v>
      </c>
      <c r="H21" s="24">
        <f>B21-E21</f>
        <v>15001.759530791791</v>
      </c>
      <c r="I21" s="20">
        <f t="shared" ref="I21" si="2">H21/667000</f>
        <v>2.2491393599387993E-2</v>
      </c>
      <c r="J21" s="20">
        <v>0</v>
      </c>
      <c r="K21" s="7"/>
      <c r="L21" s="7"/>
    </row>
    <row r="22" spans="1:12" ht="24" x14ac:dyDescent="0.25">
      <c r="A22" s="16" t="s">
        <v>14</v>
      </c>
      <c r="B22" s="23">
        <f>B23+B29+B30+B35+B36+B43+B48+B50+B52+B53+B51</f>
        <v>315929.25</v>
      </c>
      <c r="C22" s="13">
        <f>B22/B106</f>
        <v>1.8529574780058651</v>
      </c>
      <c r="D22" s="14">
        <f>C22/C102*100</f>
        <v>17.862040773279112</v>
      </c>
      <c r="E22" s="23">
        <f>E23+E29+E30+E35+E36+E43+E48+E49+E51+E53</f>
        <v>269987.41146627569</v>
      </c>
      <c r="F22" s="13">
        <f>E22/E106</f>
        <v>2.0720446006621311</v>
      </c>
      <c r="G22" s="14">
        <f>F22/F102*100</f>
        <v>20.958701885438625</v>
      </c>
      <c r="H22" s="48">
        <f>H23+H29+H30+H35+H36+H43+H48+H50+H52+H53</f>
        <v>74488.890615835771</v>
      </c>
      <c r="I22" s="13">
        <f>H22/H106</f>
        <v>1.8529574780058649</v>
      </c>
      <c r="J22" s="13">
        <f>I22/I102*100</f>
        <v>15.66344632211899</v>
      </c>
      <c r="K22" s="7"/>
      <c r="L22" s="7"/>
    </row>
    <row r="23" spans="1:12" ht="21" customHeight="1" x14ac:dyDescent="0.25">
      <c r="A23" s="18" t="s">
        <v>15</v>
      </c>
      <c r="B23" s="24">
        <f>B24+B27</f>
        <v>139801.65</v>
      </c>
      <c r="C23" s="20">
        <f>B23/667000</f>
        <v>0.20959767616191904</v>
      </c>
      <c r="D23" s="21">
        <v>0</v>
      </c>
      <c r="E23" s="24">
        <f>E24+E27</f>
        <v>106839.61873900294</v>
      </c>
      <c r="F23" s="20">
        <f t="shared" ref="F23:F35" si="3">E23/667000</f>
        <v>0.16017933843928475</v>
      </c>
      <c r="G23" s="21">
        <v>0</v>
      </c>
      <c r="H23" s="24">
        <f>B23-E23</f>
        <v>32962.031260997057</v>
      </c>
      <c r="I23" s="20">
        <f>H23/667000</f>
        <v>4.9418337722634272E-2</v>
      </c>
      <c r="J23" s="20">
        <v>0</v>
      </c>
      <c r="K23" s="7"/>
      <c r="L23" s="7"/>
    </row>
    <row r="24" spans="1:12" x14ac:dyDescent="0.25">
      <c r="A24" s="18" t="s">
        <v>16</v>
      </c>
      <c r="B24" s="19">
        <v>114591.52</v>
      </c>
      <c r="C24" s="20">
        <f t="shared" si="0"/>
        <v>0.17180137931034484</v>
      </c>
      <c r="D24" s="21">
        <v>0</v>
      </c>
      <c r="E24" s="24">
        <f>B24/B106*E106</f>
        <v>87573.460739002941</v>
      </c>
      <c r="F24" s="20">
        <f t="shared" si="3"/>
        <v>0.13129454383658612</v>
      </c>
      <c r="G24" s="21">
        <v>0</v>
      </c>
      <c r="H24" s="24">
        <f>B24-E24</f>
        <v>27018.059260997063</v>
      </c>
      <c r="I24" s="20">
        <f t="shared" ref="I24:I35" si="4">H24/667000</f>
        <v>4.0506835473758718E-2</v>
      </c>
      <c r="J24" s="20">
        <v>0</v>
      </c>
      <c r="K24" s="7"/>
      <c r="L24" s="7"/>
    </row>
    <row r="25" spans="1:12" x14ac:dyDescent="0.25">
      <c r="A25" s="18" t="s">
        <v>17</v>
      </c>
      <c r="B25" s="19">
        <v>0</v>
      </c>
      <c r="C25" s="20">
        <f t="shared" si="0"/>
        <v>0</v>
      </c>
      <c r="D25" s="21">
        <v>0</v>
      </c>
      <c r="E25" s="24">
        <v>0</v>
      </c>
      <c r="F25" s="20">
        <f t="shared" si="3"/>
        <v>0</v>
      </c>
      <c r="G25" s="21">
        <v>0</v>
      </c>
      <c r="H25" s="19">
        <v>0</v>
      </c>
      <c r="I25" s="20">
        <f t="shared" si="4"/>
        <v>0</v>
      </c>
      <c r="J25" s="20">
        <v>0</v>
      </c>
      <c r="K25" s="7"/>
      <c r="L25" s="7"/>
    </row>
    <row r="26" spans="1:12" x14ac:dyDescent="0.25">
      <c r="A26" s="18" t="s">
        <v>18</v>
      </c>
      <c r="B26" s="19">
        <v>0</v>
      </c>
      <c r="C26" s="20">
        <f t="shared" si="0"/>
        <v>0</v>
      </c>
      <c r="D26" s="21">
        <v>0</v>
      </c>
      <c r="E26" s="24">
        <v>0</v>
      </c>
      <c r="F26" s="20">
        <f t="shared" si="3"/>
        <v>0</v>
      </c>
      <c r="G26" s="21">
        <v>0</v>
      </c>
      <c r="H26" s="19">
        <v>0</v>
      </c>
      <c r="I26" s="20">
        <f t="shared" si="4"/>
        <v>0</v>
      </c>
      <c r="J26" s="20">
        <v>0</v>
      </c>
      <c r="K26" s="7"/>
      <c r="L26" s="7"/>
    </row>
    <row r="27" spans="1:12" ht="24" x14ac:dyDescent="0.25">
      <c r="A27" s="18" t="s">
        <v>19</v>
      </c>
      <c r="B27" s="19">
        <v>25210.13</v>
      </c>
      <c r="C27" s="20">
        <f t="shared" si="0"/>
        <v>3.7796296851574214E-2</v>
      </c>
      <c r="D27" s="21">
        <v>0</v>
      </c>
      <c r="E27" s="24">
        <f>B27/B106*E106</f>
        <v>19266.158000000003</v>
      </c>
      <c r="F27" s="20">
        <f t="shared" si="3"/>
        <v>2.8884794602698657E-2</v>
      </c>
      <c r="G27" s="21">
        <v>0</v>
      </c>
      <c r="H27" s="24">
        <f>B27-E27</f>
        <v>5943.9719999999979</v>
      </c>
      <c r="I27" s="20">
        <f t="shared" si="4"/>
        <v>8.911502248875559E-3</v>
      </c>
      <c r="J27" s="20">
        <v>0</v>
      </c>
      <c r="K27" s="7"/>
      <c r="L27" s="7"/>
    </row>
    <row r="28" spans="1:12" ht="24" x14ac:dyDescent="0.25">
      <c r="A28" s="18" t="s">
        <v>20</v>
      </c>
      <c r="B28" s="19">
        <v>0</v>
      </c>
      <c r="C28" s="20">
        <f t="shared" si="0"/>
        <v>0</v>
      </c>
      <c r="D28" s="21">
        <v>0</v>
      </c>
      <c r="E28" s="24">
        <v>0</v>
      </c>
      <c r="F28" s="20">
        <f t="shared" si="3"/>
        <v>0</v>
      </c>
      <c r="G28" s="21">
        <v>0</v>
      </c>
      <c r="H28" s="19">
        <v>0</v>
      </c>
      <c r="I28" s="20">
        <f t="shared" si="4"/>
        <v>0</v>
      </c>
      <c r="J28" s="20">
        <v>0</v>
      </c>
      <c r="K28" s="7"/>
      <c r="L28" s="7"/>
    </row>
    <row r="29" spans="1:12" ht="36" x14ac:dyDescent="0.25">
      <c r="A29" s="18" t="s">
        <v>21</v>
      </c>
      <c r="B29" s="19">
        <v>1284.54</v>
      </c>
      <c r="C29" s="20">
        <f t="shared" si="0"/>
        <v>1.9258470764617691E-3</v>
      </c>
      <c r="D29" s="21">
        <v>0</v>
      </c>
      <c r="E29" s="24">
        <f>B29/B106*E106</f>
        <v>981.67485043988268</v>
      </c>
      <c r="F29" s="20">
        <f t="shared" si="3"/>
        <v>1.4717763874660911E-3</v>
      </c>
      <c r="G29" s="21">
        <v>0</v>
      </c>
      <c r="H29" s="24">
        <f>B29-E29</f>
        <v>302.86514956011729</v>
      </c>
      <c r="I29" s="20">
        <f t="shared" si="4"/>
        <v>4.5407068899567811E-4</v>
      </c>
      <c r="J29" s="20">
        <v>0</v>
      </c>
      <c r="K29" s="7"/>
      <c r="L29" s="7"/>
    </row>
    <row r="30" spans="1:12" ht="36" x14ac:dyDescent="0.25">
      <c r="A30" s="18" t="s">
        <v>22</v>
      </c>
      <c r="B30" s="19">
        <f>B33</f>
        <v>815.37</v>
      </c>
      <c r="C30" s="20">
        <f t="shared" si="0"/>
        <v>1.2224437781109445E-3</v>
      </c>
      <c r="D30" s="21">
        <v>0</v>
      </c>
      <c r="E30" s="24">
        <f>B30/B106*E106</f>
        <v>623.12440469208218</v>
      </c>
      <c r="F30" s="20">
        <f t="shared" si="3"/>
        <v>9.342194972894785E-4</v>
      </c>
      <c r="G30" s="21">
        <v>0</v>
      </c>
      <c r="H30" s="24">
        <f>B30-E30</f>
        <v>192.24559530791782</v>
      </c>
      <c r="I30" s="20">
        <f t="shared" si="4"/>
        <v>2.8822428082146603E-4</v>
      </c>
      <c r="J30" s="20">
        <v>0</v>
      </c>
      <c r="K30" s="7"/>
      <c r="L30" s="7"/>
    </row>
    <row r="31" spans="1:12" x14ac:dyDescent="0.25">
      <c r="A31" s="18" t="s">
        <v>23</v>
      </c>
      <c r="B31" s="19">
        <v>0</v>
      </c>
      <c r="C31" s="20">
        <f t="shared" si="0"/>
        <v>0</v>
      </c>
      <c r="D31" s="21">
        <v>0</v>
      </c>
      <c r="E31" s="24">
        <v>0</v>
      </c>
      <c r="F31" s="20">
        <f t="shared" si="3"/>
        <v>0</v>
      </c>
      <c r="G31" s="21">
        <v>0</v>
      </c>
      <c r="H31" s="19">
        <v>0</v>
      </c>
      <c r="I31" s="20">
        <f t="shared" si="4"/>
        <v>0</v>
      </c>
      <c r="J31" s="20">
        <v>0</v>
      </c>
      <c r="K31" s="7"/>
      <c r="L31" s="7"/>
    </row>
    <row r="32" spans="1:12" ht="13.9" customHeight="1" x14ac:dyDescent="0.25">
      <c r="A32" s="18" t="s">
        <v>24</v>
      </c>
      <c r="B32" s="19">
        <v>0</v>
      </c>
      <c r="C32" s="20">
        <f t="shared" si="0"/>
        <v>0</v>
      </c>
      <c r="D32" s="21">
        <v>0</v>
      </c>
      <c r="E32" s="24">
        <v>0</v>
      </c>
      <c r="F32" s="20">
        <f t="shared" si="3"/>
        <v>0</v>
      </c>
      <c r="G32" s="21">
        <v>0</v>
      </c>
      <c r="H32" s="19">
        <v>0</v>
      </c>
      <c r="I32" s="20">
        <f t="shared" si="4"/>
        <v>0</v>
      </c>
      <c r="J32" s="20">
        <v>0</v>
      </c>
      <c r="K32" s="7"/>
      <c r="L32" s="7"/>
    </row>
    <row r="33" spans="1:12" x14ac:dyDescent="0.25">
      <c r="A33" s="18" t="s">
        <v>25</v>
      </c>
      <c r="B33" s="19">
        <v>815.37</v>
      </c>
      <c r="C33" s="20">
        <f t="shared" si="0"/>
        <v>1.2224437781109445E-3</v>
      </c>
      <c r="D33" s="21">
        <v>0</v>
      </c>
      <c r="E33" s="24">
        <f>B33/B106*E106</f>
        <v>623.12440469208218</v>
      </c>
      <c r="F33" s="20">
        <f t="shared" si="3"/>
        <v>9.342194972894785E-4</v>
      </c>
      <c r="G33" s="21">
        <v>0</v>
      </c>
      <c r="H33" s="19">
        <v>383.23</v>
      </c>
      <c r="I33" s="20">
        <f t="shared" si="4"/>
        <v>5.7455772113943035E-4</v>
      </c>
      <c r="J33" s="20">
        <v>0</v>
      </c>
      <c r="K33" s="7"/>
      <c r="L33" s="7"/>
    </row>
    <row r="34" spans="1:12" x14ac:dyDescent="0.25">
      <c r="A34" s="18" t="s">
        <v>26</v>
      </c>
      <c r="B34" s="19">
        <v>0</v>
      </c>
      <c r="C34" s="20">
        <f t="shared" si="0"/>
        <v>0</v>
      </c>
      <c r="D34" s="21">
        <v>0</v>
      </c>
      <c r="E34" s="24">
        <v>0</v>
      </c>
      <c r="F34" s="20">
        <f t="shared" si="3"/>
        <v>0</v>
      </c>
      <c r="G34" s="21">
        <v>0</v>
      </c>
      <c r="H34" s="19">
        <v>0</v>
      </c>
      <c r="I34" s="20">
        <f t="shared" si="4"/>
        <v>0</v>
      </c>
      <c r="J34" s="20">
        <v>0</v>
      </c>
      <c r="K34" s="7"/>
      <c r="L34" s="7"/>
    </row>
    <row r="35" spans="1:12" ht="24" x14ac:dyDescent="0.25">
      <c r="A35" s="18" t="s">
        <v>27</v>
      </c>
      <c r="B35" s="19">
        <v>0</v>
      </c>
      <c r="C35" s="20">
        <f t="shared" si="0"/>
        <v>0</v>
      </c>
      <c r="D35" s="21">
        <v>0</v>
      </c>
      <c r="E35" s="24">
        <v>0</v>
      </c>
      <c r="F35" s="20">
        <f t="shared" si="3"/>
        <v>0</v>
      </c>
      <c r="G35" s="21">
        <v>0</v>
      </c>
      <c r="H35" s="19">
        <v>0</v>
      </c>
      <c r="I35" s="20">
        <f t="shared" si="4"/>
        <v>0</v>
      </c>
      <c r="J35" s="20">
        <v>0</v>
      </c>
      <c r="K35" s="7"/>
      <c r="L35" s="7"/>
    </row>
    <row r="36" spans="1:12" ht="24" x14ac:dyDescent="0.25">
      <c r="A36" s="18" t="s">
        <v>28</v>
      </c>
      <c r="B36" s="19">
        <f>B37+B38+B39+B40+B41+B42</f>
        <v>9224.18</v>
      </c>
      <c r="C36" s="20">
        <v>0</v>
      </c>
      <c r="D36" s="21">
        <v>0</v>
      </c>
      <c r="E36" s="24">
        <f>B36/B106*E106</f>
        <v>7049.329348973607</v>
      </c>
      <c r="F36" s="20">
        <v>0</v>
      </c>
      <c r="G36" s="21">
        <v>0</v>
      </c>
      <c r="H36" s="24">
        <f>B36-E36</f>
        <v>2174.8506510263933</v>
      </c>
      <c r="I36" s="20">
        <v>0</v>
      </c>
      <c r="J36" s="20">
        <v>0</v>
      </c>
      <c r="K36" s="7"/>
      <c r="L36" s="7"/>
    </row>
    <row r="37" spans="1:12" x14ac:dyDescent="0.25">
      <c r="A37" s="18" t="s">
        <v>29</v>
      </c>
      <c r="B37" s="19">
        <v>0</v>
      </c>
      <c r="C37" s="20">
        <f t="shared" si="0"/>
        <v>0</v>
      </c>
      <c r="D37" s="21">
        <v>0</v>
      </c>
      <c r="E37" s="24">
        <v>0</v>
      </c>
      <c r="F37" s="20">
        <f t="shared" ref="F37:F53" si="5">E37/667000</f>
        <v>0</v>
      </c>
      <c r="G37" s="21">
        <v>0</v>
      </c>
      <c r="H37" s="19">
        <v>0</v>
      </c>
      <c r="I37" s="20">
        <f t="shared" ref="I37:I53" si="6">H37/667000</f>
        <v>0</v>
      </c>
      <c r="J37" s="20">
        <v>0</v>
      </c>
      <c r="K37" s="7"/>
      <c r="L37" s="7"/>
    </row>
    <row r="38" spans="1:12" x14ac:dyDescent="0.25">
      <c r="A38" s="18" t="s">
        <v>30</v>
      </c>
      <c r="B38" s="19">
        <v>8896.4500000000007</v>
      </c>
      <c r="C38" s="20">
        <f t="shared" si="0"/>
        <v>1.33380059970015E-2</v>
      </c>
      <c r="D38" s="21">
        <v>0</v>
      </c>
      <c r="E38" s="24">
        <f>B38/B106*E106</f>
        <v>6798.8705865102647</v>
      </c>
      <c r="F38" s="20">
        <f t="shared" si="5"/>
        <v>1.0193209275127834E-2</v>
      </c>
      <c r="G38" s="21">
        <v>0</v>
      </c>
      <c r="H38" s="24">
        <f>B38-E38</f>
        <v>2097.579413489736</v>
      </c>
      <c r="I38" s="20">
        <f t="shared" si="6"/>
        <v>3.1447967218736672E-3</v>
      </c>
      <c r="J38" s="20">
        <v>0</v>
      </c>
      <c r="K38" s="7"/>
      <c r="L38" s="7"/>
    </row>
    <row r="39" spans="1:12" x14ac:dyDescent="0.25">
      <c r="A39" s="18" t="s">
        <v>31</v>
      </c>
      <c r="B39" s="19">
        <v>0</v>
      </c>
      <c r="C39" s="20">
        <f t="shared" si="0"/>
        <v>0</v>
      </c>
      <c r="D39" s="21">
        <v>0</v>
      </c>
      <c r="E39" s="24">
        <v>0</v>
      </c>
      <c r="F39" s="20">
        <f t="shared" si="5"/>
        <v>0</v>
      </c>
      <c r="G39" s="21">
        <v>0</v>
      </c>
      <c r="H39" s="19">
        <v>0</v>
      </c>
      <c r="I39" s="20">
        <f t="shared" si="6"/>
        <v>0</v>
      </c>
      <c r="J39" s="20">
        <v>0</v>
      </c>
      <c r="K39" s="7"/>
      <c r="L39" s="7"/>
    </row>
    <row r="40" spans="1:12" x14ac:dyDescent="0.25">
      <c r="A40" s="18" t="s">
        <v>32</v>
      </c>
      <c r="B40" s="19">
        <v>0</v>
      </c>
      <c r="C40" s="20">
        <f t="shared" si="0"/>
        <v>0</v>
      </c>
      <c r="D40" s="21">
        <v>0</v>
      </c>
      <c r="E40" s="24">
        <v>0</v>
      </c>
      <c r="F40" s="20">
        <f t="shared" si="5"/>
        <v>0</v>
      </c>
      <c r="G40" s="21">
        <v>0</v>
      </c>
      <c r="H40" s="19">
        <v>0</v>
      </c>
      <c r="I40" s="20">
        <f t="shared" si="6"/>
        <v>0</v>
      </c>
      <c r="J40" s="20">
        <v>0</v>
      </c>
      <c r="K40" s="7"/>
      <c r="L40" s="7"/>
    </row>
    <row r="41" spans="1:12" x14ac:dyDescent="0.25">
      <c r="A41" s="18" t="s">
        <v>33</v>
      </c>
      <c r="B41" s="19">
        <v>327.73</v>
      </c>
      <c r="C41" s="20">
        <f t="shared" si="0"/>
        <v>4.9134932533733138E-4</v>
      </c>
      <c r="D41" s="21">
        <v>0</v>
      </c>
      <c r="E41" s="24">
        <f>B41/B106*E106</f>
        <v>250.45876246334311</v>
      </c>
      <c r="F41" s="20">
        <f t="shared" si="5"/>
        <v>3.7550039349826551E-4</v>
      </c>
      <c r="G41" s="21">
        <v>0</v>
      </c>
      <c r="H41" s="24">
        <f>B41-E41</f>
        <v>77.271237536656912</v>
      </c>
      <c r="I41" s="20">
        <f t="shared" si="6"/>
        <v>1.1584893183906584E-4</v>
      </c>
      <c r="J41" s="20">
        <v>0</v>
      </c>
      <c r="K41" s="7"/>
      <c r="L41" s="7"/>
    </row>
    <row r="42" spans="1:12" ht="24" x14ac:dyDescent="0.25">
      <c r="A42" s="18" t="s">
        <v>34</v>
      </c>
      <c r="B42" s="19">
        <v>0</v>
      </c>
      <c r="C42" s="20">
        <f t="shared" si="0"/>
        <v>0</v>
      </c>
      <c r="D42" s="21">
        <v>0</v>
      </c>
      <c r="E42" s="24">
        <v>0</v>
      </c>
      <c r="F42" s="20">
        <f t="shared" si="5"/>
        <v>0</v>
      </c>
      <c r="G42" s="21">
        <v>0</v>
      </c>
      <c r="H42" s="19">
        <v>0</v>
      </c>
      <c r="I42" s="20">
        <f t="shared" si="6"/>
        <v>0</v>
      </c>
      <c r="J42" s="20">
        <v>0</v>
      </c>
      <c r="K42" s="7"/>
      <c r="L42" s="7"/>
    </row>
    <row r="43" spans="1:12" ht="24" x14ac:dyDescent="0.25">
      <c r="A43" s="18" t="s">
        <v>35</v>
      </c>
      <c r="B43" s="52">
        <f>B47+B46</f>
        <v>20692.64</v>
      </c>
      <c r="C43" s="20">
        <f t="shared" si="0"/>
        <v>3.1023448275862068E-2</v>
      </c>
      <c r="D43" s="21">
        <v>0</v>
      </c>
      <c r="E43" s="52">
        <f>B43/B106*E106</f>
        <v>15813.788809384165</v>
      </c>
      <c r="F43" s="20">
        <f t="shared" si="5"/>
        <v>2.370882879967641E-2</v>
      </c>
      <c r="G43" s="21">
        <v>0</v>
      </c>
      <c r="H43" s="52">
        <f>B43-E43</f>
        <v>4878.8511906158346</v>
      </c>
      <c r="I43" s="20">
        <f t="shared" si="6"/>
        <v>7.3146194761856591E-3</v>
      </c>
      <c r="J43" s="20">
        <v>0</v>
      </c>
      <c r="K43" s="7"/>
      <c r="L43" s="7"/>
    </row>
    <row r="44" spans="1:12" x14ac:dyDescent="0.25">
      <c r="A44" s="18" t="s">
        <v>36</v>
      </c>
      <c r="B44" s="19">
        <v>0</v>
      </c>
      <c r="C44" s="20">
        <f t="shared" si="0"/>
        <v>0</v>
      </c>
      <c r="D44" s="21">
        <v>0</v>
      </c>
      <c r="E44" s="24">
        <v>0</v>
      </c>
      <c r="F44" s="20">
        <f t="shared" si="5"/>
        <v>0</v>
      </c>
      <c r="G44" s="21">
        <v>0</v>
      </c>
      <c r="H44" s="19">
        <v>0</v>
      </c>
      <c r="I44" s="20">
        <f t="shared" si="6"/>
        <v>0</v>
      </c>
      <c r="J44" s="20">
        <v>0</v>
      </c>
      <c r="K44" s="7"/>
      <c r="L44" s="7"/>
    </row>
    <row r="45" spans="1:12" ht="24" x14ac:dyDescent="0.25">
      <c r="A45" s="18" t="s">
        <v>19</v>
      </c>
      <c r="B45" s="19">
        <v>0</v>
      </c>
      <c r="C45" s="20">
        <f t="shared" si="0"/>
        <v>0</v>
      </c>
      <c r="D45" s="21">
        <v>0</v>
      </c>
      <c r="E45" s="24">
        <v>0</v>
      </c>
      <c r="F45" s="20">
        <f t="shared" si="5"/>
        <v>0</v>
      </c>
      <c r="G45" s="21">
        <v>0</v>
      </c>
      <c r="H45" s="19">
        <v>0</v>
      </c>
      <c r="I45" s="20">
        <f t="shared" si="6"/>
        <v>0</v>
      </c>
      <c r="J45" s="20">
        <v>0</v>
      </c>
      <c r="K45" s="7"/>
      <c r="L45" s="7"/>
    </row>
    <row r="46" spans="1:12" x14ac:dyDescent="0.25">
      <c r="A46" s="18" t="s">
        <v>37</v>
      </c>
      <c r="B46" s="19">
        <v>692.64</v>
      </c>
      <c r="C46" s="20">
        <f t="shared" si="0"/>
        <v>1.0384407796101948E-3</v>
      </c>
      <c r="D46" s="21">
        <v>0</v>
      </c>
      <c r="E46" s="24">
        <v>0</v>
      </c>
      <c r="F46" s="20">
        <f t="shared" si="5"/>
        <v>0</v>
      </c>
      <c r="G46" s="21">
        <v>0</v>
      </c>
      <c r="H46" s="19">
        <v>0</v>
      </c>
      <c r="I46" s="20">
        <f t="shared" si="6"/>
        <v>0</v>
      </c>
      <c r="J46" s="20">
        <v>0</v>
      </c>
      <c r="K46" s="7"/>
      <c r="L46" s="7"/>
    </row>
    <row r="47" spans="1:12" ht="37.5" customHeight="1" x14ac:dyDescent="0.25">
      <c r="A47" s="18" t="s">
        <v>98</v>
      </c>
      <c r="B47" s="69">
        <v>20000</v>
      </c>
      <c r="C47" s="20">
        <f t="shared" si="0"/>
        <v>2.9985007496251874E-2</v>
      </c>
      <c r="D47" s="21">
        <v>0</v>
      </c>
      <c r="E47" s="24">
        <f>B47/B106*E106</f>
        <v>15284.457478005867</v>
      </c>
      <c r="F47" s="20">
        <f t="shared" si="5"/>
        <v>2.2915228602707446E-2</v>
      </c>
      <c r="G47" s="21">
        <v>0</v>
      </c>
      <c r="H47" s="24">
        <f>B47-E47</f>
        <v>4715.5425219941335</v>
      </c>
      <c r="I47" s="20">
        <f t="shared" si="6"/>
        <v>7.0697788935444282E-3</v>
      </c>
      <c r="J47" s="20">
        <v>0</v>
      </c>
      <c r="K47" s="7"/>
      <c r="L47" s="7"/>
    </row>
    <row r="48" spans="1:12" ht="36" x14ac:dyDescent="0.25">
      <c r="A48" s="18" t="s">
        <v>38</v>
      </c>
      <c r="B48" s="24">
        <v>963.1</v>
      </c>
      <c r="C48" s="20">
        <f t="shared" si="0"/>
        <v>1.443928035982009E-3</v>
      </c>
      <c r="D48" s="21">
        <v>0</v>
      </c>
      <c r="E48" s="24">
        <f>B48/B106*E106</f>
        <v>736.02304985337241</v>
      </c>
      <c r="F48" s="20">
        <f t="shared" si="5"/>
        <v>1.103482833363377E-3</v>
      </c>
      <c r="G48" s="21">
        <v>0</v>
      </c>
      <c r="H48" s="24">
        <f>B48-E48</f>
        <v>227.07695014662761</v>
      </c>
      <c r="I48" s="20">
        <f t="shared" si="6"/>
        <v>3.4044520261863209E-4</v>
      </c>
      <c r="J48" s="20">
        <v>0</v>
      </c>
      <c r="K48" s="7"/>
      <c r="L48" s="7"/>
    </row>
    <row r="49" spans="1:12" ht="48" x14ac:dyDescent="0.25">
      <c r="A49" s="18" t="s">
        <v>101</v>
      </c>
      <c r="B49" s="24">
        <v>432.9</v>
      </c>
      <c r="C49" s="20">
        <f t="shared" si="0"/>
        <v>6.4902548725637177E-4</v>
      </c>
      <c r="D49" s="21">
        <v>0</v>
      </c>
      <c r="E49" s="24">
        <f>B49/B106*E106</f>
        <v>330.83208211143693</v>
      </c>
      <c r="F49" s="20">
        <f t="shared" si="5"/>
        <v>4.9600012310560256E-4</v>
      </c>
      <c r="G49" s="21">
        <v>0</v>
      </c>
      <c r="H49" s="24">
        <f>B49-E49</f>
        <v>102.06791788856304</v>
      </c>
      <c r="I49" s="20">
        <f t="shared" si="6"/>
        <v>1.5302536415076918E-4</v>
      </c>
      <c r="J49" s="20">
        <v>0</v>
      </c>
      <c r="K49" s="7"/>
      <c r="L49" s="7"/>
    </row>
    <row r="50" spans="1:12" ht="48" x14ac:dyDescent="0.25">
      <c r="A50" s="18" t="s">
        <v>99</v>
      </c>
      <c r="B50" s="24">
        <v>0</v>
      </c>
      <c r="C50" s="20">
        <f t="shared" si="0"/>
        <v>0</v>
      </c>
      <c r="D50" s="21">
        <v>0</v>
      </c>
      <c r="E50" s="24">
        <f>B50/667*578</f>
        <v>0</v>
      </c>
      <c r="F50" s="20">
        <f t="shared" si="5"/>
        <v>0</v>
      </c>
      <c r="G50" s="21">
        <v>0</v>
      </c>
      <c r="H50" s="24">
        <f>B50-E50</f>
        <v>0</v>
      </c>
      <c r="I50" s="20">
        <f t="shared" si="6"/>
        <v>0</v>
      </c>
      <c r="J50" s="20">
        <v>0</v>
      </c>
      <c r="K50" s="7"/>
      <c r="L50" s="7"/>
    </row>
    <row r="51" spans="1:12" s="9" customFormat="1" x14ac:dyDescent="0.25">
      <c r="A51" s="25" t="s">
        <v>92</v>
      </c>
      <c r="B51" s="53"/>
      <c r="C51" s="27">
        <f t="shared" si="0"/>
        <v>0</v>
      </c>
      <c r="D51" s="28"/>
      <c r="E51" s="26">
        <v>28216.22</v>
      </c>
      <c r="F51" s="27">
        <f t="shared" si="5"/>
        <v>4.2303178410794604E-2</v>
      </c>
      <c r="G51" s="28"/>
      <c r="H51" s="26">
        <v>0</v>
      </c>
      <c r="I51" s="27">
        <f t="shared" si="6"/>
        <v>0</v>
      </c>
      <c r="J51" s="27"/>
      <c r="K51" s="10"/>
      <c r="L51" s="10"/>
    </row>
    <row r="52" spans="1:12" x14ac:dyDescent="0.25">
      <c r="A52" s="18" t="s">
        <v>91</v>
      </c>
      <c r="B52" s="19">
        <v>0</v>
      </c>
      <c r="C52" s="20">
        <f t="shared" si="0"/>
        <v>0</v>
      </c>
      <c r="D52" s="21">
        <v>0</v>
      </c>
      <c r="E52" s="24">
        <v>0</v>
      </c>
      <c r="F52" s="20">
        <f t="shared" si="5"/>
        <v>0</v>
      </c>
      <c r="G52" s="21">
        <v>0</v>
      </c>
      <c r="H52" s="19">
        <v>0</v>
      </c>
      <c r="I52" s="20">
        <f t="shared" si="6"/>
        <v>0</v>
      </c>
      <c r="J52" s="20">
        <v>0</v>
      </c>
      <c r="K52" s="7"/>
      <c r="L52" s="7"/>
    </row>
    <row r="53" spans="1:12" ht="24" x14ac:dyDescent="0.25">
      <c r="A53" s="18" t="s">
        <v>96</v>
      </c>
      <c r="B53" s="19">
        <v>143147.76999999999</v>
      </c>
      <c r="C53" s="20">
        <f t="shared" si="0"/>
        <v>0.21461434782608693</v>
      </c>
      <c r="D53" s="21">
        <v>0</v>
      </c>
      <c r="E53" s="24">
        <f>B53/B106*E106</f>
        <v>109396.80018181817</v>
      </c>
      <c r="F53" s="20">
        <f t="shared" si="5"/>
        <v>0.16401319367588929</v>
      </c>
      <c r="G53" s="21">
        <v>0</v>
      </c>
      <c r="H53" s="24">
        <f>B53-E53</f>
        <v>33750.969818181824</v>
      </c>
      <c r="I53" s="20">
        <f t="shared" si="6"/>
        <v>5.0601154150197634E-2</v>
      </c>
      <c r="J53" s="20">
        <v>0</v>
      </c>
      <c r="K53" s="7"/>
      <c r="L53" s="7"/>
    </row>
    <row r="54" spans="1:12" ht="24" x14ac:dyDescent="0.25">
      <c r="A54" s="16" t="s">
        <v>42</v>
      </c>
      <c r="B54" s="68">
        <f>B55+B64+B65+B72+B73+B74+B75</f>
        <v>239674.96000000002</v>
      </c>
      <c r="C54" s="20">
        <f>B54/B106</f>
        <v>1.4057182404692083</v>
      </c>
      <c r="D54" s="14">
        <f>C54/C102*100</f>
        <v>13.550767799607161</v>
      </c>
      <c r="E54" s="23">
        <f>B54/B106*E106</f>
        <v>183165.08673313784</v>
      </c>
      <c r="F54" s="20">
        <f>E54/E106</f>
        <v>1.4057182404692083</v>
      </c>
      <c r="G54" s="14">
        <f>F54/F102*100</f>
        <v>14.218820158360845</v>
      </c>
      <c r="H54" s="48">
        <f>B54-E54</f>
        <v>56509.873266862181</v>
      </c>
      <c r="I54" s="20">
        <f>H54/H106</f>
        <v>1.4057182404692086</v>
      </c>
      <c r="J54" s="13">
        <f>I54/I102*100</f>
        <v>11.882837283081631</v>
      </c>
      <c r="K54" s="7">
        <f>B54/B106*E106</f>
        <v>183165.08673313784</v>
      </c>
      <c r="L54" s="7"/>
    </row>
    <row r="55" spans="1:12" ht="24" x14ac:dyDescent="0.25">
      <c r="A55" s="18" t="s">
        <v>43</v>
      </c>
      <c r="B55" s="24">
        <f>B56+B57+B58+B59+B60+B61+B62+B63</f>
        <v>209757.94</v>
      </c>
      <c r="C55" s="20">
        <f t="shared" si="0"/>
        <v>0.31447967016491757</v>
      </c>
      <c r="D55" s="21">
        <v>0</v>
      </c>
      <c r="E55" s="24">
        <f>B55/B106*E106</f>
        <v>160301.81573020527</v>
      </c>
      <c r="F55" s="20">
        <f t="shared" ref="F55:F77" si="7">E55/667000</f>
        <v>0.24033255731664957</v>
      </c>
      <c r="G55" s="21">
        <v>0</v>
      </c>
      <c r="H55" s="24">
        <f>B55-E55</f>
        <v>49456.124269794731</v>
      </c>
      <c r="I55" s="20">
        <f t="shared" ref="I55:I77" si="8">H55/667000</f>
        <v>7.4147112848267957E-2</v>
      </c>
      <c r="J55" s="20">
        <v>0</v>
      </c>
      <c r="K55" s="7"/>
      <c r="L55" s="7"/>
    </row>
    <row r="56" spans="1:12" x14ac:dyDescent="0.25">
      <c r="A56" s="18" t="s">
        <v>16</v>
      </c>
      <c r="B56" s="19">
        <v>157171.56</v>
      </c>
      <c r="C56" s="20">
        <f t="shared" si="0"/>
        <v>0.23563952023988005</v>
      </c>
      <c r="D56" s="21">
        <v>0</v>
      </c>
      <c r="E56" s="24">
        <f>B56/B106*E106</f>
        <v>120114.10127859237</v>
      </c>
      <c r="F56" s="20">
        <f t="shared" si="7"/>
        <v>0.18008111136220745</v>
      </c>
      <c r="G56" s="21">
        <v>0</v>
      </c>
      <c r="H56" s="24">
        <f>B56-E56</f>
        <v>37057.458721407631</v>
      </c>
      <c r="I56" s="20">
        <f t="shared" si="8"/>
        <v>5.5558408877672612E-2</v>
      </c>
      <c r="J56" s="20">
        <v>0</v>
      </c>
      <c r="K56" s="7"/>
      <c r="L56" s="7"/>
    </row>
    <row r="57" spans="1:12" x14ac:dyDescent="0.25">
      <c r="A57" s="18" t="s">
        <v>17</v>
      </c>
      <c r="B57" s="19">
        <v>0</v>
      </c>
      <c r="C57" s="20">
        <f t="shared" si="0"/>
        <v>0</v>
      </c>
      <c r="D57" s="21">
        <v>0</v>
      </c>
      <c r="E57" s="24">
        <v>0</v>
      </c>
      <c r="F57" s="20">
        <f t="shared" si="7"/>
        <v>0</v>
      </c>
      <c r="G57" s="21">
        <v>0</v>
      </c>
      <c r="H57" s="19">
        <v>0</v>
      </c>
      <c r="I57" s="20">
        <f t="shared" si="8"/>
        <v>0</v>
      </c>
      <c r="J57" s="20">
        <v>0</v>
      </c>
      <c r="K57" s="7"/>
      <c r="L57" s="7"/>
    </row>
    <row r="58" spans="1:12" x14ac:dyDescent="0.25">
      <c r="A58" s="18" t="s">
        <v>44</v>
      </c>
      <c r="B58" s="19">
        <v>0</v>
      </c>
      <c r="C58" s="20">
        <f t="shared" si="0"/>
        <v>0</v>
      </c>
      <c r="D58" s="21">
        <v>0</v>
      </c>
      <c r="E58" s="24">
        <v>0</v>
      </c>
      <c r="F58" s="20">
        <f t="shared" si="7"/>
        <v>0</v>
      </c>
      <c r="G58" s="21">
        <v>0</v>
      </c>
      <c r="H58" s="19">
        <v>0</v>
      </c>
      <c r="I58" s="20">
        <f t="shared" si="8"/>
        <v>0</v>
      </c>
      <c r="J58" s="20">
        <v>0</v>
      </c>
      <c r="K58" s="7"/>
      <c r="L58" s="7"/>
    </row>
    <row r="59" spans="1:12" ht="24" x14ac:dyDescent="0.25">
      <c r="A59" s="18" t="s">
        <v>19</v>
      </c>
      <c r="B59" s="19">
        <v>34577.74</v>
      </c>
      <c r="C59" s="20">
        <f t="shared" si="0"/>
        <v>5.1840689655172412E-2</v>
      </c>
      <c r="D59" s="21">
        <v>0</v>
      </c>
      <c r="E59" s="24">
        <f>B59/B106*E106</f>
        <v>26425.099835777124</v>
      </c>
      <c r="F59" s="20">
        <f t="shared" si="7"/>
        <v>3.9617840833249061E-2</v>
      </c>
      <c r="G59" s="21">
        <v>0</v>
      </c>
      <c r="H59" s="24">
        <f t="shared" ref="H59:H65" si="9">B59-E59</f>
        <v>8152.6401642228739</v>
      </c>
      <c r="I59" s="20">
        <f t="shared" si="8"/>
        <v>1.2222848821923349E-2</v>
      </c>
      <c r="J59" s="20">
        <v>0</v>
      </c>
      <c r="K59" s="7"/>
      <c r="L59" s="7"/>
    </row>
    <row r="60" spans="1:12" x14ac:dyDescent="0.25">
      <c r="A60" s="18" t="s">
        <v>37</v>
      </c>
      <c r="B60" s="19">
        <v>692.64</v>
      </c>
      <c r="C60" s="20">
        <f t="shared" si="0"/>
        <v>1.0384407796101948E-3</v>
      </c>
      <c r="D60" s="21">
        <v>0</v>
      </c>
      <c r="E60" s="24">
        <f>B60/B106*E106</f>
        <v>529.33133137829918</v>
      </c>
      <c r="F60" s="20">
        <f t="shared" si="7"/>
        <v>7.9360019696896424E-4</v>
      </c>
      <c r="G60" s="21">
        <v>0</v>
      </c>
      <c r="H60" s="24">
        <f t="shared" si="9"/>
        <v>163.3086686217008</v>
      </c>
      <c r="I60" s="20">
        <f t="shared" si="8"/>
        <v>2.4484058264123058E-4</v>
      </c>
      <c r="J60" s="20">
        <v>0</v>
      </c>
      <c r="K60" s="7"/>
      <c r="L60" s="7"/>
    </row>
    <row r="61" spans="1:12" x14ac:dyDescent="0.25">
      <c r="A61" s="18" t="s">
        <v>45</v>
      </c>
      <c r="B61" s="24">
        <v>8658</v>
      </c>
      <c r="C61" s="20">
        <f t="shared" si="0"/>
        <v>1.2980509745127437E-2</v>
      </c>
      <c r="D61" s="21">
        <v>0</v>
      </c>
      <c r="E61" s="24">
        <f>B61/B106*E106</f>
        <v>6616.6416422287393</v>
      </c>
      <c r="F61" s="20">
        <f t="shared" si="7"/>
        <v>9.9200024621120524E-3</v>
      </c>
      <c r="G61" s="21">
        <v>0</v>
      </c>
      <c r="H61" s="24">
        <f t="shared" si="9"/>
        <v>2041.3583577712607</v>
      </c>
      <c r="I61" s="20">
        <f t="shared" si="8"/>
        <v>3.0605072830153833E-3</v>
      </c>
      <c r="J61" s="20">
        <v>0</v>
      </c>
      <c r="K61" s="7"/>
      <c r="L61" s="7"/>
    </row>
    <row r="62" spans="1:12" ht="36" x14ac:dyDescent="0.25">
      <c r="A62" s="18" t="s">
        <v>46</v>
      </c>
      <c r="B62" s="24">
        <v>8658</v>
      </c>
      <c r="C62" s="20">
        <f t="shared" si="0"/>
        <v>1.2980509745127437E-2</v>
      </c>
      <c r="D62" s="21">
        <v>0</v>
      </c>
      <c r="E62" s="24">
        <f>B62/B106*E106</f>
        <v>6616.6416422287393</v>
      </c>
      <c r="F62" s="20">
        <f t="shared" si="7"/>
        <v>9.9200024621120524E-3</v>
      </c>
      <c r="G62" s="21">
        <v>0</v>
      </c>
      <c r="H62" s="24">
        <f t="shared" si="9"/>
        <v>2041.3583577712607</v>
      </c>
      <c r="I62" s="20">
        <f t="shared" si="8"/>
        <v>3.0605072830153833E-3</v>
      </c>
      <c r="J62" s="20">
        <v>0</v>
      </c>
      <c r="K62" s="7"/>
      <c r="L62" s="7"/>
    </row>
    <row r="63" spans="1:12" ht="24" x14ac:dyDescent="0.25">
      <c r="A63" s="18" t="s">
        <v>47</v>
      </c>
      <c r="B63" s="19">
        <v>0</v>
      </c>
      <c r="C63" s="20">
        <f t="shared" si="0"/>
        <v>0</v>
      </c>
      <c r="D63" s="21">
        <v>0</v>
      </c>
      <c r="E63" s="24">
        <f>B63/667*578</f>
        <v>0</v>
      </c>
      <c r="F63" s="20">
        <f t="shared" si="7"/>
        <v>0</v>
      </c>
      <c r="G63" s="21">
        <v>0</v>
      </c>
      <c r="H63" s="24">
        <f t="shared" si="9"/>
        <v>0</v>
      </c>
      <c r="I63" s="20">
        <f t="shared" si="8"/>
        <v>0</v>
      </c>
      <c r="J63" s="20">
        <v>0</v>
      </c>
      <c r="K63" s="7"/>
      <c r="L63" s="7"/>
    </row>
    <row r="64" spans="1:12" ht="36" x14ac:dyDescent="0.25">
      <c r="A64" s="18" t="s">
        <v>48</v>
      </c>
      <c r="B64" s="19">
        <v>2201.7600000000002</v>
      </c>
      <c r="C64" s="20">
        <f t="shared" si="0"/>
        <v>3.3009895052473768E-3</v>
      </c>
      <c r="D64" s="21">
        <v>0</v>
      </c>
      <c r="E64" s="24">
        <f>B64/B106*E106</f>
        <v>1682.6353548387099</v>
      </c>
      <c r="F64" s="20">
        <f t="shared" si="7"/>
        <v>2.5226916864148573E-3</v>
      </c>
      <c r="G64" s="21">
        <v>0</v>
      </c>
      <c r="H64" s="24">
        <f t="shared" si="9"/>
        <v>519.12464516129035</v>
      </c>
      <c r="I64" s="20">
        <f t="shared" si="8"/>
        <v>7.7829781883251921E-4</v>
      </c>
      <c r="J64" s="20">
        <v>0</v>
      </c>
      <c r="K64" s="7"/>
      <c r="L64" s="7"/>
    </row>
    <row r="65" spans="1:12" ht="48" x14ac:dyDescent="0.25">
      <c r="A65" s="18" t="s">
        <v>49</v>
      </c>
      <c r="B65" s="24">
        <f>B69+B70</f>
        <v>17418.010000000002</v>
      </c>
      <c r="C65" s="20">
        <f t="shared" si="0"/>
        <v>2.6113958020989508E-2</v>
      </c>
      <c r="D65" s="21">
        <v>0</v>
      </c>
      <c r="E65" s="24">
        <f>E69+E71</f>
        <v>5465.7219941348967</v>
      </c>
      <c r="F65" s="20">
        <f t="shared" si="7"/>
        <v>8.1944857483281803E-3</v>
      </c>
      <c r="G65" s="21">
        <v>0</v>
      </c>
      <c r="H65" s="24">
        <f t="shared" si="9"/>
        <v>11952.288005865106</v>
      </c>
      <c r="I65" s="20">
        <f t="shared" si="8"/>
        <v>1.791947227266133E-2</v>
      </c>
      <c r="J65" s="20">
        <v>0</v>
      </c>
      <c r="K65" s="7"/>
      <c r="L65" s="7"/>
    </row>
    <row r="66" spans="1:12" x14ac:dyDescent="0.25">
      <c r="A66" s="18" t="s">
        <v>24</v>
      </c>
      <c r="B66" s="19">
        <v>0</v>
      </c>
      <c r="C66" s="20">
        <f t="shared" si="0"/>
        <v>0</v>
      </c>
      <c r="D66" s="21">
        <v>0</v>
      </c>
      <c r="E66" s="24">
        <v>0</v>
      </c>
      <c r="F66" s="20">
        <f t="shared" si="7"/>
        <v>0</v>
      </c>
      <c r="G66" s="21">
        <v>0</v>
      </c>
      <c r="H66" s="19">
        <v>0</v>
      </c>
      <c r="I66" s="20">
        <f t="shared" si="8"/>
        <v>0</v>
      </c>
      <c r="J66" s="20">
        <v>0</v>
      </c>
      <c r="K66" s="7"/>
      <c r="L66" s="7"/>
    </row>
    <row r="67" spans="1:12" x14ac:dyDescent="0.25">
      <c r="A67" s="18" t="s">
        <v>50</v>
      </c>
      <c r="B67" s="19">
        <v>0</v>
      </c>
      <c r="C67" s="20">
        <f t="shared" si="0"/>
        <v>0</v>
      </c>
      <c r="D67" s="21">
        <v>0</v>
      </c>
      <c r="E67" s="24">
        <v>0</v>
      </c>
      <c r="F67" s="20">
        <f t="shared" si="7"/>
        <v>0</v>
      </c>
      <c r="G67" s="21">
        <v>0</v>
      </c>
      <c r="H67" s="19">
        <v>0</v>
      </c>
      <c r="I67" s="20">
        <f t="shared" si="8"/>
        <v>0</v>
      </c>
      <c r="J67" s="20">
        <v>0</v>
      </c>
      <c r="K67" s="7"/>
      <c r="L67" s="7"/>
    </row>
    <row r="68" spans="1:12" x14ac:dyDescent="0.25">
      <c r="A68" s="18" t="s">
        <v>51</v>
      </c>
      <c r="B68" s="19">
        <v>0</v>
      </c>
      <c r="C68" s="20">
        <f t="shared" si="0"/>
        <v>0</v>
      </c>
      <c r="D68" s="21">
        <v>0</v>
      </c>
      <c r="E68" s="24">
        <v>0</v>
      </c>
      <c r="F68" s="20">
        <f t="shared" si="7"/>
        <v>0</v>
      </c>
      <c r="G68" s="21">
        <v>0</v>
      </c>
      <c r="H68" s="19">
        <v>0</v>
      </c>
      <c r="I68" s="20">
        <f t="shared" si="8"/>
        <v>0</v>
      </c>
      <c r="J68" s="20">
        <v>0</v>
      </c>
      <c r="K68" s="7"/>
      <c r="L68" s="7"/>
    </row>
    <row r="69" spans="1:12" x14ac:dyDescent="0.25">
      <c r="A69" s="18" t="s">
        <v>52</v>
      </c>
      <c r="B69" s="24">
        <v>7152</v>
      </c>
      <c r="C69" s="20">
        <f t="shared" si="0"/>
        <v>1.0722638680659671E-2</v>
      </c>
      <c r="D69" s="21">
        <v>0</v>
      </c>
      <c r="E69" s="24">
        <f>B69/B106*E106</f>
        <v>5465.7219941348967</v>
      </c>
      <c r="F69" s="20">
        <f t="shared" si="7"/>
        <v>8.1944857483281803E-3</v>
      </c>
      <c r="G69" s="21">
        <v>0</v>
      </c>
      <c r="H69" s="24">
        <f t="shared" ref="H69:H75" si="10">B69-E69</f>
        <v>1686.2780058651033</v>
      </c>
      <c r="I69" s="20">
        <f t="shared" si="8"/>
        <v>2.528152932331489E-3</v>
      </c>
      <c r="J69" s="20">
        <v>0</v>
      </c>
      <c r="K69" s="7"/>
      <c r="L69" s="7"/>
    </row>
    <row r="70" spans="1:12" x14ac:dyDescent="0.25">
      <c r="A70" s="18" t="s">
        <v>53</v>
      </c>
      <c r="B70" s="19">
        <v>10266.01</v>
      </c>
      <c r="C70" s="20">
        <f t="shared" si="0"/>
        <v>1.5391319340329836E-2</v>
      </c>
      <c r="D70" s="21">
        <v>0</v>
      </c>
      <c r="E70" s="24">
        <f>B70/B106*E106</f>
        <v>7845.5196656891494</v>
      </c>
      <c r="F70" s="20">
        <f t="shared" si="7"/>
        <v>1.1762398299384032E-2</v>
      </c>
      <c r="G70" s="21">
        <v>0</v>
      </c>
      <c r="H70" s="24">
        <f t="shared" si="10"/>
        <v>2420.4903343108508</v>
      </c>
      <c r="I70" s="20">
        <f t="shared" si="8"/>
        <v>3.6289210409458034E-3</v>
      </c>
      <c r="J70" s="20">
        <v>0</v>
      </c>
      <c r="K70" s="7"/>
      <c r="L70" s="7"/>
    </row>
    <row r="71" spans="1:12" x14ac:dyDescent="0.25">
      <c r="A71" s="18" t="s">
        <v>54</v>
      </c>
      <c r="B71" s="19"/>
      <c r="C71" s="20">
        <f t="shared" si="0"/>
        <v>0</v>
      </c>
      <c r="D71" s="21">
        <v>0</v>
      </c>
      <c r="E71" s="24">
        <f>B71/667*578</f>
        <v>0</v>
      </c>
      <c r="F71" s="20">
        <f t="shared" si="7"/>
        <v>0</v>
      </c>
      <c r="G71" s="21">
        <v>0</v>
      </c>
      <c r="H71" s="24">
        <f t="shared" si="10"/>
        <v>0</v>
      </c>
      <c r="I71" s="20">
        <f t="shared" si="8"/>
        <v>0</v>
      </c>
      <c r="J71" s="20">
        <v>0</v>
      </c>
      <c r="K71" s="7"/>
      <c r="L71" s="7"/>
    </row>
    <row r="72" spans="1:12" ht="24" x14ac:dyDescent="0.25">
      <c r="A72" s="18" t="s">
        <v>100</v>
      </c>
      <c r="B72" s="19">
        <v>721.5</v>
      </c>
      <c r="C72" s="20">
        <f t="shared" si="0"/>
        <v>1.0817091454272865E-3</v>
      </c>
      <c r="D72" s="21">
        <v>0</v>
      </c>
      <c r="E72" s="24">
        <f>B72/B106*E106</f>
        <v>551.38680351906157</v>
      </c>
      <c r="F72" s="20">
        <f t="shared" si="7"/>
        <v>8.2666687184267107E-4</v>
      </c>
      <c r="G72" s="21">
        <v>0</v>
      </c>
      <c r="H72" s="24">
        <f t="shared" si="10"/>
        <v>170.11319648093843</v>
      </c>
      <c r="I72" s="20">
        <f t="shared" si="8"/>
        <v>2.5504227358461533E-4</v>
      </c>
      <c r="J72" s="20">
        <v>0</v>
      </c>
      <c r="K72" s="7"/>
      <c r="L72" s="7"/>
    </row>
    <row r="73" spans="1:12" x14ac:dyDescent="0.25">
      <c r="A73" s="18" t="s">
        <v>55</v>
      </c>
      <c r="B73" s="19">
        <v>1956.71</v>
      </c>
      <c r="C73" s="20">
        <f t="shared" si="0"/>
        <v>2.9335982008995504E-3</v>
      </c>
      <c r="D73" s="21">
        <v>0</v>
      </c>
      <c r="E73" s="24">
        <f>B73/B106*E106</f>
        <v>1495.3625395894428</v>
      </c>
      <c r="F73" s="20">
        <f t="shared" si="7"/>
        <v>2.2419228479601842E-3</v>
      </c>
      <c r="G73" s="21">
        <v>0</v>
      </c>
      <c r="H73" s="24">
        <f t="shared" si="10"/>
        <v>461.34746041055723</v>
      </c>
      <c r="I73" s="20">
        <f t="shared" si="8"/>
        <v>6.916753529393662E-4</v>
      </c>
      <c r="J73" s="20">
        <v>0</v>
      </c>
      <c r="K73" s="7"/>
      <c r="L73" s="7"/>
    </row>
    <row r="74" spans="1:12" ht="24" x14ac:dyDescent="0.25">
      <c r="A74" s="18" t="s">
        <v>56</v>
      </c>
      <c r="B74" s="19">
        <v>7619.04</v>
      </c>
      <c r="C74" s="20">
        <f t="shared" si="0"/>
        <v>1.1422848575712144E-2</v>
      </c>
      <c r="D74" s="21">
        <v>0</v>
      </c>
      <c r="E74" s="24">
        <f>B74/B106*E106</f>
        <v>5822.6446451612901</v>
      </c>
      <c r="F74" s="20">
        <f t="shared" si="7"/>
        <v>8.7296021666586066E-3</v>
      </c>
      <c r="G74" s="21">
        <v>0</v>
      </c>
      <c r="H74" s="24">
        <f t="shared" si="10"/>
        <v>1796.3953548387099</v>
      </c>
      <c r="I74" s="20">
        <f t="shared" si="8"/>
        <v>2.6932464090535378E-3</v>
      </c>
      <c r="J74" s="20">
        <v>0</v>
      </c>
      <c r="K74" s="7"/>
      <c r="L74" s="7"/>
    </row>
    <row r="75" spans="1:12" ht="24" x14ac:dyDescent="0.25">
      <c r="A75" s="18" t="s">
        <v>57</v>
      </c>
      <c r="B75" s="19"/>
      <c r="C75" s="20">
        <f t="shared" si="0"/>
        <v>0</v>
      </c>
      <c r="D75" s="21">
        <v>0</v>
      </c>
      <c r="E75" s="24">
        <f>B75/667*578</f>
        <v>0</v>
      </c>
      <c r="F75" s="20">
        <f t="shared" si="7"/>
        <v>0</v>
      </c>
      <c r="G75" s="21">
        <v>0</v>
      </c>
      <c r="H75" s="24">
        <f t="shared" si="10"/>
        <v>0</v>
      </c>
      <c r="I75" s="20">
        <f t="shared" si="8"/>
        <v>0</v>
      </c>
      <c r="J75" s="20">
        <v>0</v>
      </c>
      <c r="K75" s="7"/>
      <c r="L75" s="7"/>
    </row>
    <row r="76" spans="1:12" x14ac:dyDescent="0.25">
      <c r="A76" s="18" t="s">
        <v>58</v>
      </c>
      <c r="B76" s="19">
        <v>0</v>
      </c>
      <c r="C76" s="20">
        <f t="shared" si="0"/>
        <v>0</v>
      </c>
      <c r="D76" s="21">
        <v>0</v>
      </c>
      <c r="E76" s="24">
        <v>0</v>
      </c>
      <c r="F76" s="20">
        <f t="shared" si="7"/>
        <v>0</v>
      </c>
      <c r="G76" s="21">
        <v>0</v>
      </c>
      <c r="H76" s="19">
        <v>0</v>
      </c>
      <c r="I76" s="20">
        <f t="shared" si="8"/>
        <v>0</v>
      </c>
      <c r="J76" s="20">
        <v>0</v>
      </c>
      <c r="K76" s="7"/>
      <c r="L76" s="7"/>
    </row>
    <row r="77" spans="1:12" ht="24" x14ac:dyDescent="0.25">
      <c r="A77" s="18" t="s">
        <v>59</v>
      </c>
      <c r="B77" s="19">
        <v>0</v>
      </c>
      <c r="C77" s="20">
        <f t="shared" si="0"/>
        <v>0</v>
      </c>
      <c r="D77" s="21">
        <v>0</v>
      </c>
      <c r="E77" s="24">
        <v>0</v>
      </c>
      <c r="F77" s="20">
        <f t="shared" si="7"/>
        <v>0</v>
      </c>
      <c r="G77" s="21">
        <v>0</v>
      </c>
      <c r="H77" s="19">
        <v>0</v>
      </c>
      <c r="I77" s="20">
        <f t="shared" si="8"/>
        <v>0</v>
      </c>
      <c r="J77" s="20">
        <v>0</v>
      </c>
      <c r="K77" s="7"/>
      <c r="L77" s="7"/>
    </row>
    <row r="78" spans="1:12" ht="24" x14ac:dyDescent="0.25">
      <c r="A78" s="16" t="s">
        <v>60</v>
      </c>
      <c r="B78" s="22">
        <f>B79+B95+B83+B94</f>
        <v>104773.41</v>
      </c>
      <c r="C78" s="13">
        <f>B78/B106</f>
        <v>0.61450680351906162</v>
      </c>
      <c r="D78" s="14">
        <f>C78/C102*100</f>
        <v>5.923689944427398</v>
      </c>
      <c r="E78" s="22">
        <f>B78/B106*E106</f>
        <v>80070.236498533734</v>
      </c>
      <c r="F78" s="13">
        <f>E78/E106</f>
        <v>0.61450680351906162</v>
      </c>
      <c r="G78" s="14">
        <f>F78/F102*100</f>
        <v>6.2157276428384751</v>
      </c>
      <c r="H78" s="22">
        <f>B78-E78</f>
        <v>24703.17350146627</v>
      </c>
      <c r="I78" s="13">
        <f>H78/H106</f>
        <v>0.6145068035190614</v>
      </c>
      <c r="J78" s="13">
        <f>I78/I102*100</f>
        <v>5.1945575900945062</v>
      </c>
      <c r="K78" s="7"/>
      <c r="L78" s="7"/>
    </row>
    <row r="79" spans="1:12" ht="36" x14ac:dyDescent="0.25">
      <c r="A79" s="18" t="s">
        <v>61</v>
      </c>
      <c r="B79" s="19">
        <f>B80</f>
        <v>78100.929999999993</v>
      </c>
      <c r="C79" s="20">
        <f t="shared" si="0"/>
        <v>0.11709284857571213</v>
      </c>
      <c r="D79" s="21">
        <v>0</v>
      </c>
      <c r="E79" s="24">
        <f>B79/B106*E106</f>
        <v>59686.517178885624</v>
      </c>
      <c r="F79" s="20">
        <f t="shared" ref="F79:F97" si="11">E79/667000</f>
        <v>8.9485033251702581E-2</v>
      </c>
      <c r="G79" s="21">
        <v>0</v>
      </c>
      <c r="H79" s="24">
        <f>B79-E79</f>
        <v>18414.412821114369</v>
      </c>
      <c r="I79" s="20">
        <f t="shared" ref="I79:I82" si="12">H79/667000</f>
        <v>2.7607815324009549E-2</v>
      </c>
      <c r="J79" s="20">
        <v>0</v>
      </c>
      <c r="K79" s="7"/>
      <c r="L79" s="7"/>
    </row>
    <row r="80" spans="1:12" x14ac:dyDescent="0.25">
      <c r="A80" s="18" t="s">
        <v>16</v>
      </c>
      <c r="B80" s="19">
        <v>78100.929999999993</v>
      </c>
      <c r="C80" s="20">
        <f t="shared" si="0"/>
        <v>0.11709284857571213</v>
      </c>
      <c r="D80" s="21">
        <v>0</v>
      </c>
      <c r="E80" s="24">
        <f>B80/B106*E106</f>
        <v>59686.517178885624</v>
      </c>
      <c r="F80" s="20">
        <f t="shared" si="11"/>
        <v>8.9485033251702581E-2</v>
      </c>
      <c r="G80" s="21">
        <v>0</v>
      </c>
      <c r="H80" s="24">
        <f>B80-E80</f>
        <v>18414.412821114369</v>
      </c>
      <c r="I80" s="20">
        <f t="shared" si="12"/>
        <v>2.7607815324009549E-2</v>
      </c>
      <c r="J80" s="20">
        <v>0</v>
      </c>
      <c r="K80" s="7"/>
      <c r="L80" s="7"/>
    </row>
    <row r="81" spans="1:12" x14ac:dyDescent="0.25">
      <c r="A81" s="18" t="s">
        <v>17</v>
      </c>
      <c r="B81" s="19">
        <v>0</v>
      </c>
      <c r="C81" s="20">
        <f t="shared" si="0"/>
        <v>0</v>
      </c>
      <c r="D81" s="21">
        <v>0</v>
      </c>
      <c r="E81" s="24">
        <v>0</v>
      </c>
      <c r="F81" s="20">
        <f t="shared" si="11"/>
        <v>0</v>
      </c>
      <c r="G81" s="21">
        <v>0</v>
      </c>
      <c r="H81" s="19">
        <v>0</v>
      </c>
      <c r="I81" s="20">
        <f t="shared" si="12"/>
        <v>0</v>
      </c>
      <c r="J81" s="20">
        <v>0</v>
      </c>
      <c r="K81" s="7"/>
      <c r="L81" s="7"/>
    </row>
    <row r="82" spans="1:12" x14ac:dyDescent="0.25">
      <c r="A82" s="18" t="s">
        <v>44</v>
      </c>
      <c r="B82" s="19">
        <v>0</v>
      </c>
      <c r="C82" s="20">
        <f t="shared" ref="C82:C101" si="13">B82/667000</f>
        <v>0</v>
      </c>
      <c r="D82" s="21">
        <v>0</v>
      </c>
      <c r="E82" s="24">
        <v>0</v>
      </c>
      <c r="F82" s="20">
        <f t="shared" si="11"/>
        <v>0</v>
      </c>
      <c r="G82" s="21">
        <v>0</v>
      </c>
      <c r="H82" s="19">
        <v>0</v>
      </c>
      <c r="I82" s="20">
        <f t="shared" si="12"/>
        <v>0</v>
      </c>
      <c r="J82" s="20">
        <v>0</v>
      </c>
      <c r="K82" s="7"/>
      <c r="L82" s="7"/>
    </row>
    <row r="83" spans="1:12" ht="24" x14ac:dyDescent="0.25">
      <c r="A83" s="18" t="s">
        <v>62</v>
      </c>
      <c r="B83" s="19">
        <v>17182.21</v>
      </c>
      <c r="C83" s="20">
        <f>B83/667000</f>
        <v>2.5760434782608695E-2</v>
      </c>
      <c r="D83" s="21">
        <v>0</v>
      </c>
      <c r="E83" s="24">
        <f>B83/B106*E106</f>
        <v>13131.037906158357</v>
      </c>
      <c r="F83" s="20">
        <f t="shared" si="11"/>
        <v>1.9686713502486294E-2</v>
      </c>
      <c r="G83" s="21">
        <v>0</v>
      </c>
      <c r="H83" s="24">
        <f>B83-E83</f>
        <v>4051.172093841642</v>
      </c>
      <c r="I83" s="20">
        <f>H83/667000</f>
        <v>6.0737212801224016E-3</v>
      </c>
      <c r="J83" s="20">
        <v>0</v>
      </c>
      <c r="K83" s="7"/>
      <c r="L83" s="7"/>
    </row>
    <row r="84" spans="1:12" x14ac:dyDescent="0.25">
      <c r="A84" s="18" t="s">
        <v>63</v>
      </c>
      <c r="B84" s="19">
        <v>0</v>
      </c>
      <c r="C84" s="20">
        <f t="shared" si="13"/>
        <v>0</v>
      </c>
      <c r="D84" s="21">
        <v>0</v>
      </c>
      <c r="E84" s="24">
        <v>0</v>
      </c>
      <c r="F84" s="20">
        <f t="shared" si="11"/>
        <v>0</v>
      </c>
      <c r="G84" s="21">
        <v>0</v>
      </c>
      <c r="H84" s="19">
        <v>0</v>
      </c>
      <c r="I84" s="20">
        <f t="shared" ref="I84:I97" si="14">H84/667000</f>
        <v>0</v>
      </c>
      <c r="J84" s="20">
        <v>0</v>
      </c>
      <c r="K84" s="7"/>
      <c r="L84" s="7"/>
    </row>
    <row r="85" spans="1:12" ht="24" x14ac:dyDescent="0.25">
      <c r="A85" s="18" t="s">
        <v>64</v>
      </c>
      <c r="B85" s="19">
        <v>0</v>
      </c>
      <c r="C85" s="20">
        <f t="shared" si="13"/>
        <v>0</v>
      </c>
      <c r="D85" s="21">
        <v>0</v>
      </c>
      <c r="E85" s="24">
        <v>0</v>
      </c>
      <c r="F85" s="20">
        <f t="shared" si="11"/>
        <v>0</v>
      </c>
      <c r="G85" s="21">
        <v>0</v>
      </c>
      <c r="H85" s="19">
        <v>0</v>
      </c>
      <c r="I85" s="20">
        <f t="shared" si="14"/>
        <v>0</v>
      </c>
      <c r="J85" s="20">
        <v>0</v>
      </c>
      <c r="K85" s="7"/>
      <c r="L85" s="7"/>
    </row>
    <row r="86" spans="1:12" ht="48" x14ac:dyDescent="0.25">
      <c r="A86" s="18" t="s">
        <v>65</v>
      </c>
      <c r="B86" s="19">
        <v>0</v>
      </c>
      <c r="C86" s="20">
        <f t="shared" si="13"/>
        <v>0</v>
      </c>
      <c r="D86" s="21">
        <v>0</v>
      </c>
      <c r="E86" s="24">
        <v>0</v>
      </c>
      <c r="F86" s="20">
        <f t="shared" si="11"/>
        <v>0</v>
      </c>
      <c r="G86" s="21">
        <v>0</v>
      </c>
      <c r="H86" s="19">
        <v>0</v>
      </c>
      <c r="I86" s="20">
        <f t="shared" si="14"/>
        <v>0</v>
      </c>
      <c r="J86" s="20">
        <v>0</v>
      </c>
      <c r="K86" s="7"/>
      <c r="L86" s="7"/>
    </row>
    <row r="87" spans="1:12" ht="60" x14ac:dyDescent="0.25">
      <c r="A87" s="18" t="s">
        <v>66</v>
      </c>
      <c r="B87" s="19">
        <v>0</v>
      </c>
      <c r="C87" s="20">
        <f t="shared" si="13"/>
        <v>0</v>
      </c>
      <c r="D87" s="21">
        <v>0</v>
      </c>
      <c r="E87" s="24">
        <v>0</v>
      </c>
      <c r="F87" s="20">
        <f t="shared" si="11"/>
        <v>0</v>
      </c>
      <c r="G87" s="21">
        <v>0</v>
      </c>
      <c r="H87" s="19">
        <v>0</v>
      </c>
      <c r="I87" s="20">
        <f t="shared" si="14"/>
        <v>0</v>
      </c>
      <c r="J87" s="20">
        <v>0</v>
      </c>
      <c r="K87" s="7"/>
      <c r="L87" s="7"/>
    </row>
    <row r="88" spans="1:12" x14ac:dyDescent="0.25">
      <c r="A88" s="18" t="s">
        <v>67</v>
      </c>
      <c r="B88" s="19">
        <v>0</v>
      </c>
      <c r="C88" s="20">
        <f t="shared" si="13"/>
        <v>0</v>
      </c>
      <c r="D88" s="21">
        <v>0</v>
      </c>
      <c r="E88" s="24">
        <v>0</v>
      </c>
      <c r="F88" s="20">
        <f t="shared" si="11"/>
        <v>0</v>
      </c>
      <c r="G88" s="21">
        <v>0</v>
      </c>
      <c r="H88" s="19">
        <v>0</v>
      </c>
      <c r="I88" s="20">
        <f t="shared" si="14"/>
        <v>0</v>
      </c>
      <c r="J88" s="20">
        <v>0</v>
      </c>
      <c r="K88" s="7"/>
      <c r="L88" s="7"/>
    </row>
    <row r="89" spans="1:12" x14ac:dyDescent="0.25">
      <c r="A89" s="18" t="s">
        <v>51</v>
      </c>
      <c r="B89" s="19">
        <v>0</v>
      </c>
      <c r="C89" s="20">
        <f t="shared" si="13"/>
        <v>0</v>
      </c>
      <c r="D89" s="21">
        <v>0</v>
      </c>
      <c r="E89" s="24">
        <v>0</v>
      </c>
      <c r="F89" s="20">
        <f t="shared" si="11"/>
        <v>0</v>
      </c>
      <c r="G89" s="21">
        <v>0</v>
      </c>
      <c r="H89" s="19">
        <v>0</v>
      </c>
      <c r="I89" s="20">
        <f t="shared" si="14"/>
        <v>0</v>
      </c>
      <c r="J89" s="20">
        <v>0</v>
      </c>
      <c r="K89" s="7"/>
      <c r="L89" s="7"/>
    </row>
    <row r="90" spans="1:12" x14ac:dyDescent="0.25">
      <c r="A90" s="18" t="s">
        <v>24</v>
      </c>
      <c r="B90" s="19">
        <v>0</v>
      </c>
      <c r="C90" s="20">
        <f t="shared" si="13"/>
        <v>0</v>
      </c>
      <c r="D90" s="21">
        <v>0</v>
      </c>
      <c r="E90" s="24">
        <v>0</v>
      </c>
      <c r="F90" s="20">
        <f t="shared" si="11"/>
        <v>0</v>
      </c>
      <c r="G90" s="21">
        <v>0</v>
      </c>
      <c r="H90" s="19">
        <v>0</v>
      </c>
      <c r="I90" s="20">
        <f t="shared" si="14"/>
        <v>0</v>
      </c>
      <c r="J90" s="20">
        <v>0</v>
      </c>
      <c r="K90" s="7"/>
      <c r="L90" s="7"/>
    </row>
    <row r="91" spans="1:12" x14ac:dyDescent="0.25">
      <c r="A91" s="18" t="s">
        <v>52</v>
      </c>
      <c r="B91" s="19">
        <v>0</v>
      </c>
      <c r="C91" s="20">
        <f t="shared" si="13"/>
        <v>0</v>
      </c>
      <c r="D91" s="21">
        <v>0</v>
      </c>
      <c r="E91" s="24">
        <v>0</v>
      </c>
      <c r="F91" s="20">
        <f t="shared" si="11"/>
        <v>0</v>
      </c>
      <c r="G91" s="21">
        <v>0</v>
      </c>
      <c r="H91" s="19">
        <v>0</v>
      </c>
      <c r="I91" s="20">
        <f t="shared" si="14"/>
        <v>0</v>
      </c>
      <c r="J91" s="20">
        <v>0</v>
      </c>
      <c r="K91" s="7"/>
      <c r="L91" s="7"/>
    </row>
    <row r="92" spans="1:12" x14ac:dyDescent="0.25">
      <c r="A92" s="18" t="s">
        <v>53</v>
      </c>
      <c r="B92" s="19">
        <v>0</v>
      </c>
      <c r="C92" s="20">
        <f t="shared" si="13"/>
        <v>0</v>
      </c>
      <c r="D92" s="21">
        <v>0</v>
      </c>
      <c r="E92" s="24">
        <v>0</v>
      </c>
      <c r="F92" s="20">
        <f t="shared" si="11"/>
        <v>0</v>
      </c>
      <c r="G92" s="21">
        <v>0</v>
      </c>
      <c r="H92" s="19">
        <v>0</v>
      </c>
      <c r="I92" s="20">
        <f t="shared" si="14"/>
        <v>0</v>
      </c>
      <c r="J92" s="20">
        <v>0</v>
      </c>
      <c r="K92" s="7"/>
      <c r="L92" s="7"/>
    </row>
    <row r="93" spans="1:12" x14ac:dyDescent="0.25">
      <c r="A93" s="18" t="s">
        <v>68</v>
      </c>
      <c r="B93" s="19">
        <v>0</v>
      </c>
      <c r="C93" s="20">
        <f t="shared" si="13"/>
        <v>0</v>
      </c>
      <c r="D93" s="21">
        <v>0</v>
      </c>
      <c r="E93" s="24">
        <v>0</v>
      </c>
      <c r="F93" s="20">
        <f t="shared" si="11"/>
        <v>0</v>
      </c>
      <c r="G93" s="21">
        <v>0</v>
      </c>
      <c r="H93" s="19">
        <v>0</v>
      </c>
      <c r="I93" s="20">
        <f t="shared" si="14"/>
        <v>0</v>
      </c>
      <c r="J93" s="20">
        <v>0</v>
      </c>
      <c r="K93" s="7"/>
      <c r="L93" s="7"/>
    </row>
    <row r="94" spans="1:12" ht="24" x14ac:dyDescent="0.25">
      <c r="A94" s="18" t="s">
        <v>69</v>
      </c>
      <c r="B94" s="19">
        <v>4617.6000000000004</v>
      </c>
      <c r="C94" s="20">
        <f t="shared" si="13"/>
        <v>6.9229385307346333E-3</v>
      </c>
      <c r="D94" s="21">
        <v>0</v>
      </c>
      <c r="E94" s="24">
        <f>B94/B106*E106</f>
        <v>3528.8755425219942</v>
      </c>
      <c r="F94" s="20">
        <f t="shared" si="11"/>
        <v>5.2906679797930945E-3</v>
      </c>
      <c r="G94" s="21">
        <v>0</v>
      </c>
      <c r="H94" s="24">
        <f>B94-E94</f>
        <v>1088.7244574780061</v>
      </c>
      <c r="I94" s="20">
        <f t="shared" si="14"/>
        <v>1.6322705509415384E-3</v>
      </c>
      <c r="J94" s="20">
        <v>0</v>
      </c>
      <c r="K94" s="7"/>
      <c r="L94" s="7"/>
    </row>
    <row r="95" spans="1:12" ht="36" x14ac:dyDescent="0.25">
      <c r="A95" s="18" t="s">
        <v>70</v>
      </c>
      <c r="B95" s="19">
        <v>4872.67</v>
      </c>
      <c r="C95" s="20">
        <f t="shared" si="13"/>
        <v>7.3053523238380807E-3</v>
      </c>
      <c r="D95" s="21">
        <v>0</v>
      </c>
      <c r="E95" s="24">
        <f>B95/B106*E106</f>
        <v>3723.8058709677416</v>
      </c>
      <c r="F95" s="20">
        <f t="shared" si="11"/>
        <v>5.5829173477777239E-3</v>
      </c>
      <c r="G95" s="21">
        <v>0</v>
      </c>
      <c r="H95" s="24">
        <f>B95-E95</f>
        <v>1148.8641290322585</v>
      </c>
      <c r="I95" s="20">
        <f t="shared" si="14"/>
        <v>1.7224349760603574E-3</v>
      </c>
      <c r="J95" s="20">
        <v>0</v>
      </c>
      <c r="K95" s="7"/>
      <c r="L95" s="7"/>
    </row>
    <row r="96" spans="1:12" ht="36" x14ac:dyDescent="0.25">
      <c r="A96" s="18" t="s">
        <v>71</v>
      </c>
      <c r="B96" s="19">
        <v>0</v>
      </c>
      <c r="C96" s="20">
        <f t="shared" si="13"/>
        <v>0</v>
      </c>
      <c r="D96" s="21">
        <v>0</v>
      </c>
      <c r="E96" s="24">
        <v>0</v>
      </c>
      <c r="F96" s="20">
        <f t="shared" si="11"/>
        <v>0</v>
      </c>
      <c r="G96" s="21">
        <v>0</v>
      </c>
      <c r="H96" s="19">
        <v>0</v>
      </c>
      <c r="I96" s="20">
        <f t="shared" si="14"/>
        <v>0</v>
      </c>
      <c r="J96" s="20">
        <v>0</v>
      </c>
      <c r="K96" s="7"/>
      <c r="L96" s="7"/>
    </row>
    <row r="97" spans="1:12" ht="36" x14ac:dyDescent="0.25">
      <c r="A97" s="18" t="s">
        <v>72</v>
      </c>
      <c r="B97" s="19">
        <v>0</v>
      </c>
      <c r="C97" s="20">
        <f t="shared" si="13"/>
        <v>0</v>
      </c>
      <c r="D97" s="21">
        <v>0</v>
      </c>
      <c r="E97" s="24">
        <v>0</v>
      </c>
      <c r="F97" s="20">
        <f t="shared" si="11"/>
        <v>0</v>
      </c>
      <c r="G97" s="21">
        <v>0</v>
      </c>
      <c r="H97" s="19">
        <v>0</v>
      </c>
      <c r="I97" s="20">
        <f t="shared" si="14"/>
        <v>0</v>
      </c>
      <c r="J97" s="20">
        <v>0</v>
      </c>
      <c r="K97" s="7"/>
      <c r="L97" s="7"/>
    </row>
    <row r="98" spans="1:12" ht="24" x14ac:dyDescent="0.25">
      <c r="A98" s="16" t="s">
        <v>73</v>
      </c>
      <c r="B98" s="17">
        <v>0</v>
      </c>
      <c r="C98" s="13">
        <f>B98/B106</f>
        <v>0</v>
      </c>
      <c r="D98" s="14">
        <f>C98/C102*100</f>
        <v>0</v>
      </c>
      <c r="E98" s="22">
        <v>0</v>
      </c>
      <c r="F98" s="13">
        <f>E98/E106</f>
        <v>0</v>
      </c>
      <c r="G98" s="14">
        <f>F98/F102*100</f>
        <v>0</v>
      </c>
      <c r="H98" s="17">
        <v>0</v>
      </c>
      <c r="I98" s="13">
        <f>H98/H106</f>
        <v>0</v>
      </c>
      <c r="J98" s="13">
        <f>I98/I102*100</f>
        <v>0</v>
      </c>
      <c r="K98" s="7"/>
      <c r="L98" s="7"/>
    </row>
    <row r="99" spans="1:12" ht="26.25" customHeight="1" x14ac:dyDescent="0.25">
      <c r="A99" s="16" t="s">
        <v>74</v>
      </c>
      <c r="B99" s="17">
        <v>0</v>
      </c>
      <c r="C99" s="20">
        <f t="shared" si="13"/>
        <v>0</v>
      </c>
      <c r="D99" s="21">
        <v>0</v>
      </c>
      <c r="E99" s="22">
        <v>0</v>
      </c>
      <c r="F99" s="20">
        <f>E99/667000</f>
        <v>0</v>
      </c>
      <c r="G99" s="21">
        <v>0</v>
      </c>
      <c r="H99" s="17">
        <v>0</v>
      </c>
      <c r="I99" s="20">
        <f t="shared" ref="I99:I101" si="15">H99/667000</f>
        <v>0</v>
      </c>
      <c r="J99" s="20">
        <v>0</v>
      </c>
      <c r="K99" s="7"/>
      <c r="L99" s="7"/>
    </row>
    <row r="100" spans="1:12" ht="24" x14ac:dyDescent="0.25">
      <c r="A100" s="18" t="s">
        <v>75</v>
      </c>
      <c r="B100" s="19">
        <v>0</v>
      </c>
      <c r="C100" s="20">
        <f t="shared" si="13"/>
        <v>0</v>
      </c>
      <c r="D100" s="21">
        <v>0</v>
      </c>
      <c r="E100" s="24">
        <v>0</v>
      </c>
      <c r="F100" s="20">
        <f>E100/667000</f>
        <v>0</v>
      </c>
      <c r="G100" s="21">
        <v>0</v>
      </c>
      <c r="H100" s="19">
        <v>0</v>
      </c>
      <c r="I100" s="20">
        <f t="shared" si="15"/>
        <v>0</v>
      </c>
      <c r="J100" s="20">
        <v>0</v>
      </c>
      <c r="K100" s="7"/>
      <c r="L100" s="7"/>
    </row>
    <row r="101" spans="1:12" x14ac:dyDescent="0.25">
      <c r="A101" s="18" t="s">
        <v>76</v>
      </c>
      <c r="B101" s="19">
        <v>0</v>
      </c>
      <c r="C101" s="20">
        <f t="shared" si="13"/>
        <v>0</v>
      </c>
      <c r="D101" s="21">
        <v>0</v>
      </c>
      <c r="E101" s="24">
        <v>0</v>
      </c>
      <c r="F101" s="20">
        <f>E101/667000</f>
        <v>0</v>
      </c>
      <c r="G101" s="21">
        <v>0</v>
      </c>
      <c r="H101" s="19">
        <v>0</v>
      </c>
      <c r="I101" s="20">
        <f t="shared" si="15"/>
        <v>0</v>
      </c>
      <c r="J101" s="20">
        <v>0</v>
      </c>
      <c r="K101" s="7"/>
      <c r="L101" s="7"/>
    </row>
    <row r="102" spans="1:12" ht="36" x14ac:dyDescent="0.25">
      <c r="A102" s="16" t="s">
        <v>77</v>
      </c>
      <c r="B102" s="22">
        <f>B9+B14+B18+B22+B54+B98+B99+B78</f>
        <v>1768718.67</v>
      </c>
      <c r="C102" s="49">
        <f>B102/B106</f>
        <v>10.373716539589442</v>
      </c>
      <c r="D102" s="21">
        <f>D98+D78+D54+D22+D18+D14+D9</f>
        <v>100</v>
      </c>
      <c r="E102" s="22">
        <f>E9+E14+E18+E22+E54+E98+E99+E78</f>
        <v>1288187.6603906159</v>
      </c>
      <c r="F102" s="49">
        <f>E102/E106</f>
        <v>9.8863212616317409</v>
      </c>
      <c r="G102" s="21">
        <f>G98+G78+G54+G22+G18+G14+G9</f>
        <v>99.999999999999986</v>
      </c>
      <c r="H102" s="22">
        <f>H9+H14+H18+H22+H54+H98+H99+H78</f>
        <v>475558.75689149561</v>
      </c>
      <c r="I102" s="49">
        <f>H102/H106</f>
        <v>11.829819823171533</v>
      </c>
      <c r="J102" s="20">
        <f>J98+J78+J54+J22+J18+J14+J9</f>
        <v>100</v>
      </c>
      <c r="K102" s="7"/>
      <c r="L102" s="7"/>
    </row>
    <row r="103" spans="1:12" x14ac:dyDescent="0.25">
      <c r="A103" s="29" t="s">
        <v>82</v>
      </c>
      <c r="B103" s="30">
        <v>0</v>
      </c>
      <c r="C103" s="30">
        <v>0</v>
      </c>
      <c r="D103" s="31"/>
      <c r="E103" s="30">
        <v>0</v>
      </c>
      <c r="F103" s="30">
        <v>0</v>
      </c>
      <c r="G103" s="31"/>
      <c r="H103" s="30">
        <v>0</v>
      </c>
      <c r="I103" s="51">
        <v>0</v>
      </c>
      <c r="J103" s="30"/>
    </row>
    <row r="104" spans="1:12" x14ac:dyDescent="0.25">
      <c r="A104" s="29" t="s">
        <v>83</v>
      </c>
      <c r="B104" s="30"/>
      <c r="C104" s="32">
        <f>C105-C102</f>
        <v>2.0747433079178883</v>
      </c>
      <c r="D104" s="31"/>
      <c r="E104" s="30"/>
      <c r="F104" s="51">
        <f>F105-F102</f>
        <v>1.9772642523263482</v>
      </c>
      <c r="G104" s="31"/>
      <c r="H104" s="30"/>
      <c r="I104" s="51">
        <f>I105-I102</f>
        <v>2.3659639646343056</v>
      </c>
      <c r="J104" s="30"/>
    </row>
    <row r="105" spans="1:12" ht="15.75" x14ac:dyDescent="0.25">
      <c r="A105" s="33" t="s">
        <v>84</v>
      </c>
      <c r="B105" s="34"/>
      <c r="C105" s="35">
        <f>C102*1.2</f>
        <v>12.44845984750733</v>
      </c>
      <c r="D105" s="36"/>
      <c r="E105" s="34"/>
      <c r="F105" s="50">
        <f>F102*1.2</f>
        <v>11.863585513958089</v>
      </c>
      <c r="G105" s="36"/>
      <c r="H105" s="34"/>
      <c r="I105" s="50">
        <f>I102*1.2</f>
        <v>14.195783787805839</v>
      </c>
      <c r="J105" s="37"/>
      <c r="K105" s="3"/>
      <c r="L105" s="3"/>
    </row>
    <row r="106" spans="1:12" ht="15.75" x14ac:dyDescent="0.25">
      <c r="A106" s="37" t="s">
        <v>93</v>
      </c>
      <c r="B106" s="38">
        <v>170500</v>
      </c>
      <c r="C106" s="37"/>
      <c r="D106" s="36"/>
      <c r="E106" s="38">
        <v>130300</v>
      </c>
      <c r="F106" s="37"/>
      <c r="G106" s="36"/>
      <c r="H106" s="38">
        <v>40200</v>
      </c>
      <c r="I106" s="50"/>
      <c r="J106" s="37"/>
      <c r="K106" s="3"/>
      <c r="L106" s="3"/>
    </row>
    <row r="107" spans="1:12" ht="15.75" x14ac:dyDescent="0.25">
      <c r="A107" s="36"/>
      <c r="B107" s="39"/>
      <c r="C107" s="36"/>
      <c r="D107" s="36"/>
      <c r="E107" s="36"/>
      <c r="F107" s="36"/>
      <c r="G107" s="36"/>
      <c r="H107" s="36"/>
      <c r="I107" s="36"/>
      <c r="J107" s="36"/>
      <c r="K107" s="3"/>
      <c r="L107" s="3"/>
    </row>
    <row r="108" spans="1:12" ht="15.75" x14ac:dyDescent="0.25">
      <c r="A108" s="185" t="s">
        <v>85</v>
      </c>
      <c r="B108" s="186"/>
      <c r="C108" s="186"/>
      <c r="D108" s="36"/>
      <c r="E108" s="36"/>
      <c r="F108" s="36"/>
      <c r="G108" s="36"/>
      <c r="H108" s="36"/>
      <c r="I108" s="36"/>
      <c r="J108" s="36"/>
      <c r="K108" s="3"/>
      <c r="L108" s="3"/>
    </row>
    <row r="109" spans="1:12" ht="13.5" customHeight="1" x14ac:dyDescent="0.25">
      <c r="A109" s="186"/>
      <c r="B109" s="186"/>
      <c r="C109" s="186"/>
      <c r="D109" s="31"/>
      <c r="E109" s="31"/>
      <c r="F109" s="31"/>
      <c r="G109" s="31"/>
      <c r="H109" s="31"/>
      <c r="I109" s="31"/>
      <c r="J109" s="31"/>
    </row>
    <row r="110" spans="1:12" hidden="1" x14ac:dyDescent="0.25">
      <c r="A110" s="186"/>
      <c r="B110" s="186"/>
      <c r="C110" s="186"/>
      <c r="D110" s="31"/>
      <c r="E110" s="31"/>
      <c r="F110" s="31"/>
      <c r="G110" s="31"/>
      <c r="H110" s="31"/>
      <c r="I110" s="31"/>
      <c r="J110" s="31"/>
    </row>
    <row r="111" spans="1:12" ht="6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2" x14ac:dyDescent="0.25">
      <c r="A112" s="187" t="s">
        <v>109</v>
      </c>
      <c r="B112" s="187"/>
      <c r="C112" s="31"/>
      <c r="D112" s="31"/>
      <c r="E112" s="31"/>
      <c r="F112" s="31"/>
      <c r="G112" s="31"/>
      <c r="H112" s="31"/>
      <c r="I112" s="31"/>
      <c r="J112" s="31"/>
    </row>
    <row r="113" spans="1:10" x14ac:dyDescent="0.25">
      <c r="A113" s="188" t="s">
        <v>106</v>
      </c>
      <c r="B113" s="188"/>
      <c r="C113" s="188"/>
      <c r="D113" s="31"/>
      <c r="E113" s="31"/>
      <c r="F113" s="31"/>
      <c r="G113" s="31"/>
      <c r="H113" s="31"/>
      <c r="I113" s="41"/>
      <c r="J113" s="41"/>
    </row>
    <row r="114" spans="1:10" x14ac:dyDescent="0.25">
      <c r="A114" s="77"/>
      <c r="B114" s="77"/>
      <c r="C114" s="77"/>
      <c r="D114" s="31"/>
      <c r="E114" s="31"/>
      <c r="F114" s="31"/>
      <c r="G114" s="31"/>
      <c r="H114" s="31"/>
      <c r="I114" s="31"/>
      <c r="J114" s="31"/>
    </row>
    <row r="115" spans="1:10" x14ac:dyDescent="0.25">
      <c r="A115" s="40"/>
      <c r="B115" s="31"/>
      <c r="C115" s="31"/>
      <c r="D115" s="40"/>
      <c r="E115" s="31"/>
      <c r="G115" s="31"/>
      <c r="H115" s="31"/>
      <c r="I115" s="31"/>
      <c r="J115" s="31"/>
    </row>
    <row r="116" spans="1:10" x14ac:dyDescent="0.25">
      <c r="A116" s="31"/>
      <c r="B116" s="31"/>
      <c r="C116" s="31"/>
      <c r="D116" s="40"/>
      <c r="E116" s="31"/>
      <c r="F116" s="31"/>
      <c r="G116" s="31"/>
      <c r="H116" s="31"/>
      <c r="I116" s="31"/>
      <c r="J116" s="31"/>
    </row>
    <row r="117" spans="1:10" x14ac:dyDescent="0.25">
      <c r="A117" s="31"/>
      <c r="B117" s="31"/>
      <c r="C117" s="31"/>
      <c r="D117" s="40"/>
      <c r="E117" s="31"/>
      <c r="F117" s="31"/>
      <c r="G117" s="31"/>
      <c r="H117" s="31"/>
      <c r="I117" s="31"/>
      <c r="J117" s="31"/>
    </row>
    <row r="118" spans="1:10" x14ac:dyDescent="0.25">
      <c r="A118" s="40"/>
      <c r="B118" s="31"/>
      <c r="C118" s="40"/>
      <c r="D118" s="40"/>
      <c r="E118" s="31"/>
      <c r="F118" s="31"/>
      <c r="G118" s="31"/>
      <c r="H118" s="31"/>
      <c r="I118" s="31"/>
      <c r="J118" s="31"/>
    </row>
    <row r="119" spans="1:10" x14ac:dyDescent="0.25">
      <c r="A119" s="41"/>
      <c r="B119" s="31"/>
      <c r="C119" s="41"/>
      <c r="D119" s="40"/>
      <c r="E119" s="31"/>
      <c r="F119" s="31"/>
      <c r="G119" s="31"/>
      <c r="H119" s="31"/>
      <c r="I119" s="31"/>
      <c r="J119" s="31"/>
    </row>
    <row r="120" spans="1:10" x14ac:dyDescent="0.25">
      <c r="A120" s="31"/>
      <c r="B120" s="31"/>
      <c r="C120" s="31"/>
      <c r="D120" s="40"/>
      <c r="E120" s="31"/>
      <c r="F120" s="31"/>
      <c r="G120" s="31"/>
      <c r="H120" s="31"/>
      <c r="I120" s="31"/>
      <c r="J120" s="31"/>
    </row>
    <row r="121" spans="1:10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</row>
  </sheetData>
  <mergeCells count="13">
    <mergeCell ref="J5:J6"/>
    <mergeCell ref="A108:C110"/>
    <mergeCell ref="A112:B112"/>
    <mergeCell ref="A113:C113"/>
    <mergeCell ref="B1:C1"/>
    <mergeCell ref="B2:C2"/>
    <mergeCell ref="A3:I4"/>
    <mergeCell ref="A5:A6"/>
    <mergeCell ref="B5:C5"/>
    <mergeCell ref="D5:D6"/>
    <mergeCell ref="E5:F5"/>
    <mergeCell ref="G5:G6"/>
    <mergeCell ref="H5:I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1" manualBreakCount="1">
    <brk id="2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додаток №1.1 (2)</vt:lpstr>
      <vt:lpstr>1 план витрати (3)</vt:lpstr>
      <vt:lpstr>Лист1</vt:lpstr>
      <vt:lpstr>кал стоки нас.бюдж</vt:lpstr>
      <vt:lpstr>калькул вода </vt:lpstr>
      <vt:lpstr>Лист3</vt:lpstr>
      <vt:lpstr>'додаток №1.1 (2)'!Область_печати</vt:lpstr>
      <vt:lpstr>'кал стоки нас.бюдж'!Область_печати</vt:lpstr>
      <vt:lpstr>'калькул вода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Ищенко Юрий Иванович</dc:creator>
  <cp:lastModifiedBy>Admin</cp:lastModifiedBy>
  <cp:lastPrinted>2016-11-24T07:36:33Z</cp:lastPrinted>
  <dcterms:created xsi:type="dcterms:W3CDTF">2014-07-02T10:12:59Z</dcterms:created>
  <dcterms:modified xsi:type="dcterms:W3CDTF">2016-11-24T07:57:28Z</dcterms:modified>
</cp:coreProperties>
</file>